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/>
  <mc:AlternateContent xmlns:mc="http://schemas.openxmlformats.org/markup-compatibility/2006">
    <mc:Choice Requires="x15">
      <x15ac:absPath xmlns:x15ac="http://schemas.microsoft.com/office/spreadsheetml/2010/11/ac" url="C:\Users\asage\Documents\"/>
    </mc:Choice>
  </mc:AlternateContent>
  <xr:revisionPtr revIDLastSave="0" documentId="13_ncr:1_{A0042B92-72C5-40A5-8AD8-B2ED554F3EDF}" xr6:coauthVersionLast="36" xr6:coauthVersionMax="36" xr10:uidLastSave="{00000000-0000-0000-0000-000000000000}"/>
  <bookViews>
    <workbookView xWindow="0" yWindow="0" windowWidth="19200" windowHeight="5480" tabRatio="904" activeTab="1" xr2:uid="{00000000-000D-0000-FFFF-FFFF00000000}"/>
  </bookViews>
  <sheets>
    <sheet name="Official Summary" sheetId="28" r:id="rId1"/>
    <sheet name="Summary II" sheetId="48" r:id="rId2"/>
    <sheet name="Assumptions" sheetId="33" r:id="rId3"/>
    <sheet name="Parcel Breakdown" sheetId="43" r:id="rId4"/>
    <sheet name="S&amp;U" sheetId="32" r:id="rId5"/>
    <sheet name="Budget" sheetId="31" r:id="rId6"/>
    <sheet name="Infra" sheetId="45" r:id="rId7"/>
    <sheet name="Acquisition" sheetId="46" r:id="rId8"/>
    <sheet name="Taxes and TIF" sheetId="35" r:id="rId9"/>
    <sheet name="Loan Sizing" sheetId="39" r:id="rId10"/>
    <sheet name="Phase I Pro Forma" sheetId="38" r:id="rId11"/>
    <sheet name="Phase II Pro Forma" sheetId="40" r:id="rId12"/>
    <sheet name="Phase III Pro Forma" sheetId="41" r:id="rId13"/>
    <sheet name="Cash Flow Roll-up" sheetId="42" r:id="rId14"/>
    <sheet name="Public Benefits" sheetId="47" r:id="rId15"/>
  </sheets>
  <definedNames>
    <definedName name="_xlnm.Print_Area" localSheetId="0">'Official Summary'!$A$1:$O$133</definedName>
    <definedName name="_xlnm.Print_Area" localSheetId="1">'Summary II'!$A$1:$V$108</definedName>
  </definedNames>
  <calcPr calcId="191029" calcMode="autoNoTable" iterate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1" i="33" l="1"/>
  <c r="G211" i="33"/>
  <c r="H54" i="45" l="1"/>
  <c r="G54" i="45"/>
  <c r="F54" i="45"/>
  <c r="BA11" i="43"/>
  <c r="M4" i="31"/>
  <c r="M22" i="31" s="1"/>
  <c r="M73" i="31" s="1"/>
  <c r="A156" i="39"/>
  <c r="A157" i="39"/>
  <c r="A158" i="39" s="1"/>
  <c r="A159" i="39" s="1"/>
  <c r="A160" i="39" s="1"/>
  <c r="A161" i="39" s="1"/>
  <c r="A162" i="39" s="1"/>
  <c r="B173" i="39"/>
  <c r="B172" i="39"/>
  <c r="B171" i="39"/>
  <c r="B170" i="39"/>
  <c r="B169" i="39"/>
  <c r="B168" i="39"/>
  <c r="B167" i="39"/>
  <c r="B166" i="39"/>
  <c r="AV3" i="31"/>
  <c r="AW3" i="31"/>
  <c r="AX3" i="31" s="1"/>
  <c r="AW4" i="31"/>
  <c r="AW22" i="31" s="1"/>
  <c r="AV4" i="31"/>
  <c r="AV22" i="31" s="1"/>
  <c r="AV66" i="31" s="1"/>
  <c r="AU4" i="31"/>
  <c r="AU22" i="31" s="1"/>
  <c r="AU78" i="31" s="1"/>
  <c r="A127" i="39"/>
  <c r="A128" i="39" s="1"/>
  <c r="A129" i="39" s="1"/>
  <c r="A130" i="39" s="1"/>
  <c r="A131" i="39" s="1"/>
  <c r="A132" i="39" s="1"/>
  <c r="A133" i="39" s="1"/>
  <c r="B144" i="39"/>
  <c r="B143" i="39"/>
  <c r="B142" i="39"/>
  <c r="B141" i="39"/>
  <c r="B140" i="39"/>
  <c r="B139" i="39"/>
  <c r="B138" i="39"/>
  <c r="B137" i="39"/>
  <c r="M2" i="43"/>
  <c r="M18" i="43" s="1"/>
  <c r="AK3" i="31"/>
  <c r="AJ4" i="31"/>
  <c r="AJ22" i="31" s="1"/>
  <c r="AJ78" i="31" s="1"/>
  <c r="A98" i="39"/>
  <c r="A99" i="39" s="1"/>
  <c r="A100" i="39" s="1"/>
  <c r="A101" i="39" s="1"/>
  <c r="A102" i="39" s="1"/>
  <c r="A103" i="39" s="1"/>
  <c r="A104" i="39" s="1"/>
  <c r="B115" i="39"/>
  <c r="B114" i="39"/>
  <c r="B113" i="39"/>
  <c r="B112" i="39"/>
  <c r="B111" i="39"/>
  <c r="B110" i="39"/>
  <c r="B109" i="39"/>
  <c r="B108" i="39"/>
  <c r="B86" i="39"/>
  <c r="B85" i="39"/>
  <c r="B84" i="39"/>
  <c r="B83" i="39"/>
  <c r="B82" i="39"/>
  <c r="B81" i="39"/>
  <c r="B80" i="39"/>
  <c r="B79" i="39"/>
  <c r="Z3" i="31"/>
  <c r="Z4" i="31"/>
  <c r="Z22" i="31" s="1"/>
  <c r="Z26" i="31" s="1"/>
  <c r="AA3" i="31"/>
  <c r="AB3" i="31" s="1"/>
  <c r="Y4" i="31"/>
  <c r="Y22" i="31" s="1"/>
  <c r="AR8" i="43"/>
  <c r="H62" i="45"/>
  <c r="H63" i="45" s="1"/>
  <c r="G62" i="45"/>
  <c r="G63" i="45"/>
  <c r="I62" i="45"/>
  <c r="I63" i="45" s="1"/>
  <c r="G10" i="45"/>
  <c r="G18" i="45"/>
  <c r="H10" i="45"/>
  <c r="H18" i="45"/>
  <c r="E62" i="45"/>
  <c r="E63" i="45"/>
  <c r="F62" i="45"/>
  <c r="F63" i="45" s="1"/>
  <c r="I10" i="45"/>
  <c r="I18" i="45"/>
  <c r="H105" i="48"/>
  <c r="H106" i="48" s="1"/>
  <c r="G105" i="48"/>
  <c r="G106" i="48" s="1"/>
  <c r="F105" i="48"/>
  <c r="F106" i="48" s="1"/>
  <c r="H120" i="33"/>
  <c r="H118" i="33"/>
  <c r="G120" i="33"/>
  <c r="G118" i="33"/>
  <c r="F120" i="33"/>
  <c r="F118" i="33"/>
  <c r="H83" i="48"/>
  <c r="H84" i="48" s="1"/>
  <c r="H86" i="48"/>
  <c r="H87" i="48" s="1"/>
  <c r="G86" i="48"/>
  <c r="G87" i="48" s="1"/>
  <c r="D45" i="48"/>
  <c r="D47" i="48" s="1"/>
  <c r="H33" i="48"/>
  <c r="G33" i="48"/>
  <c r="A12" i="35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F86" i="48"/>
  <c r="F83" i="48"/>
  <c r="F80" i="48"/>
  <c r="F79" i="48"/>
  <c r="H104" i="48"/>
  <c r="G104" i="48"/>
  <c r="F104" i="48"/>
  <c r="H102" i="48"/>
  <c r="G102" i="48"/>
  <c r="F148" i="33"/>
  <c r="H101" i="48"/>
  <c r="G101" i="48"/>
  <c r="F101" i="48"/>
  <c r="H100" i="48"/>
  <c r="G100" i="48"/>
  <c r="F100" i="48"/>
  <c r="H99" i="48"/>
  <c r="G99" i="48"/>
  <c r="F99" i="48"/>
  <c r="B94" i="48"/>
  <c r="H93" i="48"/>
  <c r="G93" i="48"/>
  <c r="F93" i="48"/>
  <c r="E93" i="48"/>
  <c r="G83" i="48"/>
  <c r="G84" i="48" s="1"/>
  <c r="G80" i="48"/>
  <c r="H79" i="48"/>
  <c r="H80" i="48" s="1"/>
  <c r="G79" i="48"/>
  <c r="H73" i="48"/>
  <c r="G73" i="48"/>
  <c r="E73" i="48"/>
  <c r="H72" i="48"/>
  <c r="G72" i="48"/>
  <c r="E72" i="48"/>
  <c r="H71" i="48"/>
  <c r="G71" i="48"/>
  <c r="E71" i="48"/>
  <c r="H70" i="48"/>
  <c r="G70" i="48"/>
  <c r="E70" i="48"/>
  <c r="H69" i="48"/>
  <c r="G69" i="48"/>
  <c r="E69" i="48"/>
  <c r="J19" i="32"/>
  <c r="T70" i="48" s="1"/>
  <c r="I19" i="32"/>
  <c r="R70" i="48" s="1"/>
  <c r="H19" i="32"/>
  <c r="P70" i="48" s="1"/>
  <c r="H66" i="48"/>
  <c r="G66" i="48"/>
  <c r="E66" i="48"/>
  <c r="H65" i="48"/>
  <c r="G65" i="48"/>
  <c r="E65" i="48"/>
  <c r="H64" i="48"/>
  <c r="G64" i="48"/>
  <c r="E64" i="48"/>
  <c r="H63" i="48"/>
  <c r="G63" i="48"/>
  <c r="E63" i="48"/>
  <c r="H62" i="48"/>
  <c r="G62" i="48"/>
  <c r="E62" i="48"/>
  <c r="T62" i="48"/>
  <c r="R62" i="48"/>
  <c r="P62" i="48"/>
  <c r="T61" i="48"/>
  <c r="R61" i="48"/>
  <c r="P61" i="48"/>
  <c r="G56" i="48"/>
  <c r="F56" i="48"/>
  <c r="D55" i="48"/>
  <c r="H52" i="48"/>
  <c r="G52" i="48"/>
  <c r="B52" i="48"/>
  <c r="G51" i="48"/>
  <c r="F51" i="48"/>
  <c r="B51" i="48"/>
  <c r="H50" i="48"/>
  <c r="G50" i="48"/>
  <c r="B50" i="48"/>
  <c r="H54" i="39"/>
  <c r="T43" i="48" s="1"/>
  <c r="G54" i="39"/>
  <c r="R43" i="48" s="1"/>
  <c r="F54" i="39"/>
  <c r="P43" i="48" s="1"/>
  <c r="G39" i="48"/>
  <c r="F39" i="48"/>
  <c r="F40" i="48" s="1"/>
  <c r="H49" i="39"/>
  <c r="T41" i="48" s="1"/>
  <c r="G49" i="39"/>
  <c r="R41" i="48"/>
  <c r="F49" i="39"/>
  <c r="P41" i="48" s="1"/>
  <c r="B36" i="48"/>
  <c r="B83" i="48" s="1"/>
  <c r="H57" i="39"/>
  <c r="T38" i="48" s="1"/>
  <c r="G57" i="39"/>
  <c r="R38" i="48" s="1"/>
  <c r="F57" i="39"/>
  <c r="P38" i="48" s="1"/>
  <c r="B33" i="48"/>
  <c r="B80" i="48" s="1"/>
  <c r="H38" i="39"/>
  <c r="T34" i="48" s="1"/>
  <c r="G38" i="39"/>
  <c r="R34" i="48" s="1"/>
  <c r="F38" i="39"/>
  <c r="P34" i="48" s="1"/>
  <c r="B79" i="48"/>
  <c r="H33" i="39"/>
  <c r="T32" i="48" s="1"/>
  <c r="G33" i="39"/>
  <c r="R32" i="48" s="1"/>
  <c r="F33" i="39"/>
  <c r="P32" i="48" s="1"/>
  <c r="H41" i="39"/>
  <c r="T29" i="48" s="1"/>
  <c r="G41" i="39"/>
  <c r="R29" i="48" s="1"/>
  <c r="F41" i="39"/>
  <c r="P29" i="48" s="1"/>
  <c r="B26" i="48"/>
  <c r="H22" i="39"/>
  <c r="T25" i="48" s="1"/>
  <c r="G22" i="39"/>
  <c r="R25" i="48" s="1"/>
  <c r="F22" i="39"/>
  <c r="P25" i="48"/>
  <c r="B25" i="48"/>
  <c r="B24" i="48"/>
  <c r="H12" i="39"/>
  <c r="T23" i="48" s="1"/>
  <c r="G12" i="39"/>
  <c r="R23" i="48" s="1"/>
  <c r="F12" i="39"/>
  <c r="P23" i="48" s="1"/>
  <c r="B23" i="48"/>
  <c r="B22" i="48"/>
  <c r="T20" i="48"/>
  <c r="R20" i="48"/>
  <c r="P20" i="48"/>
  <c r="D19" i="48"/>
  <c r="D26" i="48" s="1"/>
  <c r="D18" i="48"/>
  <c r="D25" i="48" s="1"/>
  <c r="D17" i="48"/>
  <c r="D24" i="48" s="1"/>
  <c r="D16" i="48"/>
  <c r="D23" i="48" s="1"/>
  <c r="L15" i="48"/>
  <c r="D15" i="48"/>
  <c r="D22" i="48" s="1"/>
  <c r="L12" i="48"/>
  <c r="L11" i="48"/>
  <c r="L10" i="48"/>
  <c r="L9" i="48"/>
  <c r="L7" i="48"/>
  <c r="L6" i="48"/>
  <c r="H6" i="48"/>
  <c r="G6" i="48"/>
  <c r="F6" i="48"/>
  <c r="B86" i="48"/>
  <c r="G40" i="48"/>
  <c r="N68" i="33"/>
  <c r="P68" i="33"/>
  <c r="AU9" i="47"/>
  <c r="AT9" i="47"/>
  <c r="AS9" i="47"/>
  <c r="AR9" i="47"/>
  <c r="AQ9" i="47"/>
  <c r="AP9" i="47"/>
  <c r="AO9" i="47"/>
  <c r="AN9" i="47"/>
  <c r="AM9" i="47"/>
  <c r="AL9" i="47"/>
  <c r="AK9" i="47"/>
  <c r="AJ9" i="47"/>
  <c r="AI9" i="47"/>
  <c r="AH9" i="47"/>
  <c r="AG9" i="47"/>
  <c r="AF9" i="47"/>
  <c r="AE9" i="47"/>
  <c r="AD9" i="47"/>
  <c r="AC9" i="47"/>
  <c r="AB9" i="47"/>
  <c r="AU8" i="47"/>
  <c r="AT8" i="47"/>
  <c r="AS8" i="47"/>
  <c r="AR8" i="47"/>
  <c r="AQ8" i="47"/>
  <c r="AP8" i="47"/>
  <c r="AO8" i="47"/>
  <c r="AN8" i="47"/>
  <c r="AM8" i="47"/>
  <c r="AL8" i="47"/>
  <c r="AK8" i="47"/>
  <c r="AJ8" i="47"/>
  <c r="AI8" i="47"/>
  <c r="AH8" i="47"/>
  <c r="AG8" i="47"/>
  <c r="AF8" i="47"/>
  <c r="AE8" i="47"/>
  <c r="AD8" i="47"/>
  <c r="AC8" i="47"/>
  <c r="AB8" i="47"/>
  <c r="AU7" i="47"/>
  <c r="AT7" i="47"/>
  <c r="AS7" i="47"/>
  <c r="AR7" i="47"/>
  <c r="AQ7" i="47"/>
  <c r="AP7" i="47"/>
  <c r="AO7" i="47"/>
  <c r="AN7" i="47"/>
  <c r="AM7" i="47"/>
  <c r="AL7" i="47"/>
  <c r="AK7" i="47"/>
  <c r="AJ7" i="47"/>
  <c r="AI7" i="47"/>
  <c r="AH7" i="47"/>
  <c r="AG7" i="47"/>
  <c r="AF7" i="47"/>
  <c r="AE7" i="47"/>
  <c r="AD7" i="47"/>
  <c r="AC7" i="47"/>
  <c r="AB7" i="47"/>
  <c r="F33" i="43"/>
  <c r="F34" i="43"/>
  <c r="F35" i="43"/>
  <c r="K7" i="43"/>
  <c r="K8" i="43"/>
  <c r="K9" i="43"/>
  <c r="K10" i="43"/>
  <c r="K11" i="43"/>
  <c r="K12" i="43"/>
  <c r="K13" i="43"/>
  <c r="K14" i="43"/>
  <c r="Z14" i="43" s="1"/>
  <c r="K15" i="43"/>
  <c r="K16" i="43"/>
  <c r="K17" i="43"/>
  <c r="K18" i="43"/>
  <c r="K19" i="43"/>
  <c r="K20" i="43"/>
  <c r="K21" i="43"/>
  <c r="K22" i="43"/>
  <c r="AB24" i="43"/>
  <c r="AC24" i="43"/>
  <c r="AD24" i="43"/>
  <c r="AE24" i="43"/>
  <c r="AF24" i="43"/>
  <c r="AH24" i="43"/>
  <c r="AB25" i="43"/>
  <c r="AB26" i="43"/>
  <c r="AC25" i="43"/>
  <c r="AD25" i="43"/>
  <c r="AD26" i="43"/>
  <c r="AE25" i="43"/>
  <c r="AE26" i="43"/>
  <c r="AF25" i="43"/>
  <c r="AF26" i="43"/>
  <c r="AH25" i="43"/>
  <c r="A7" i="43"/>
  <c r="BA7" i="43" s="1"/>
  <c r="A8" i="43"/>
  <c r="BA8" i="43" s="1"/>
  <c r="A9" i="43"/>
  <c r="BA9" i="43" s="1"/>
  <c r="W52" i="32"/>
  <c r="AO36" i="43"/>
  <c r="AN36" i="43" s="1"/>
  <c r="AP29" i="43"/>
  <c r="AQ36" i="43"/>
  <c r="AR29" i="43"/>
  <c r="AR30" i="43" s="1"/>
  <c r="F65" i="33" s="1"/>
  <c r="AS36" i="43"/>
  <c r="AT29" i="43"/>
  <c r="AT38" i="43" s="1"/>
  <c r="H42" i="33" s="1"/>
  <c r="AU36" i="43"/>
  <c r="AV29" i="43"/>
  <c r="AX29" i="43"/>
  <c r="AO37" i="43"/>
  <c r="AQ37" i="43"/>
  <c r="AN37" i="43" s="1"/>
  <c r="AS37" i="43"/>
  <c r="AU37" i="43"/>
  <c r="AW37" i="43"/>
  <c r="AO38" i="43"/>
  <c r="AQ38" i="43"/>
  <c r="AS38" i="43"/>
  <c r="AU38" i="43"/>
  <c r="AW38" i="43"/>
  <c r="AE50" i="32"/>
  <c r="AD50" i="32"/>
  <c r="AC50" i="32"/>
  <c r="AK50" i="32"/>
  <c r="AJ50" i="32"/>
  <c r="AI50" i="32"/>
  <c r="A19" i="43"/>
  <c r="A21" i="43"/>
  <c r="A11" i="43"/>
  <c r="A12" i="43"/>
  <c r="A13" i="43"/>
  <c r="BA13" i="43" s="1"/>
  <c r="A14" i="43"/>
  <c r="BA14" i="43" s="1"/>
  <c r="A15" i="43"/>
  <c r="BA15" i="43" s="1"/>
  <c r="A16" i="43"/>
  <c r="A17" i="43"/>
  <c r="BA17" i="43" s="1"/>
  <c r="A18" i="43"/>
  <c r="A20" i="43"/>
  <c r="A22" i="43"/>
  <c r="G86" i="39"/>
  <c r="G173" i="39" s="1"/>
  <c r="G85" i="39"/>
  <c r="G172" i="39" s="1"/>
  <c r="G84" i="39"/>
  <c r="G83" i="39"/>
  <c r="G170" i="39" s="1"/>
  <c r="G82" i="39"/>
  <c r="G81" i="39"/>
  <c r="G168" i="39" s="1"/>
  <c r="G80" i="39"/>
  <c r="G167" i="39" s="1"/>
  <c r="G79" i="39"/>
  <c r="H4" i="31"/>
  <c r="H22" i="31" s="1"/>
  <c r="H73" i="31" s="1"/>
  <c r="I4" i="31"/>
  <c r="I22" i="31" s="1"/>
  <c r="I48" i="31" s="1"/>
  <c r="J4" i="31"/>
  <c r="J22" i="31" s="1"/>
  <c r="G11" i="35"/>
  <c r="G12" i="35" s="1"/>
  <c r="G13" i="35" s="1"/>
  <c r="G14" i="35" s="1"/>
  <c r="G15" i="35" s="1"/>
  <c r="G16" i="35" s="1"/>
  <c r="G17" i="35" s="1"/>
  <c r="G18" i="35" s="1"/>
  <c r="G19" i="35"/>
  <c r="G20" i="35" s="1"/>
  <c r="G21" i="35" s="1"/>
  <c r="G22" i="35" s="1"/>
  <c r="G23" i="35" s="1"/>
  <c r="G24" i="35" s="1"/>
  <c r="G25" i="35" s="1"/>
  <c r="G26" i="35" s="1"/>
  <c r="G27" i="35" s="1"/>
  <c r="G28" i="35" s="1"/>
  <c r="G29" i="35" s="1"/>
  <c r="G30" i="35" s="1"/>
  <c r="G31" i="35" s="1"/>
  <c r="G32" i="35" s="1"/>
  <c r="G33" i="35" s="1"/>
  <c r="G34" i="35" s="1"/>
  <c r="G35" i="35" s="1"/>
  <c r="G36" i="35" s="1"/>
  <c r="G37" i="35" s="1"/>
  <c r="G38" i="35" s="1"/>
  <c r="G39" i="35" s="1"/>
  <c r="G40" i="35" s="1"/>
  <c r="G41" i="35" s="1"/>
  <c r="G42" i="35" s="1"/>
  <c r="G43" i="35" s="1"/>
  <c r="G44" i="35" s="1"/>
  <c r="G45" i="35" s="1"/>
  <c r="I11" i="35"/>
  <c r="I12" i="35"/>
  <c r="I13" i="35" s="1"/>
  <c r="I14" i="35" s="1"/>
  <c r="I15" i="35" s="1"/>
  <c r="I16" i="35" s="1"/>
  <c r="E12" i="35"/>
  <c r="E13" i="35"/>
  <c r="E14" i="35" s="1"/>
  <c r="E15" i="35" s="1"/>
  <c r="E16" i="35" s="1"/>
  <c r="I17" i="35"/>
  <c r="I18" i="35" s="1"/>
  <c r="I19" i="35" s="1"/>
  <c r="I20" i="35" s="1"/>
  <c r="I21" i="35" s="1"/>
  <c r="I22" i="35" s="1"/>
  <c r="I23" i="35" s="1"/>
  <c r="I24" i="35" s="1"/>
  <c r="I25" i="35" s="1"/>
  <c r="I26" i="35" s="1"/>
  <c r="I27" i="35" s="1"/>
  <c r="I28" i="35" s="1"/>
  <c r="I29" i="35" s="1"/>
  <c r="I30" i="35" s="1"/>
  <c r="I31" i="35" s="1"/>
  <c r="I32" i="35" s="1"/>
  <c r="I33" i="35" s="1"/>
  <c r="I34" i="35" s="1"/>
  <c r="I35" i="35" s="1"/>
  <c r="I36" i="35" s="1"/>
  <c r="I37" i="35" s="1"/>
  <c r="I38" i="35" s="1"/>
  <c r="I39" i="35" s="1"/>
  <c r="I40" i="35" s="1"/>
  <c r="I41" i="35" s="1"/>
  <c r="I42" i="35" s="1"/>
  <c r="I43" i="35" s="1"/>
  <c r="I44" i="35" s="1"/>
  <c r="I45" i="35" s="1"/>
  <c r="W11" i="35"/>
  <c r="W12" i="35" s="1"/>
  <c r="W13" i="35" s="1"/>
  <c r="W14" i="35" s="1"/>
  <c r="W15" i="35" s="1"/>
  <c r="W16" i="35" s="1"/>
  <c r="Y11" i="35"/>
  <c r="Y12" i="35"/>
  <c r="W17" i="35"/>
  <c r="W18" i="35" s="1"/>
  <c r="W19" i="35" s="1"/>
  <c r="W20" i="35" s="1"/>
  <c r="W21" i="35" s="1"/>
  <c r="W22" i="35" s="1"/>
  <c r="W23" i="35" s="1"/>
  <c r="W24" i="35" s="1"/>
  <c r="W25" i="35"/>
  <c r="W26" i="35" s="1"/>
  <c r="W27" i="35" s="1"/>
  <c r="W28" i="35" s="1"/>
  <c r="W29" i="35" s="1"/>
  <c r="W30" i="35" s="1"/>
  <c r="W31" i="35" s="1"/>
  <c r="W32" i="35" s="1"/>
  <c r="W33" i="35" s="1"/>
  <c r="W34" i="35" s="1"/>
  <c r="W35" i="35" s="1"/>
  <c r="W36" i="35" s="1"/>
  <c r="W37" i="35" s="1"/>
  <c r="W38" i="35" s="1"/>
  <c r="W39" i="35" s="1"/>
  <c r="W40" i="35" s="1"/>
  <c r="W41" i="35" s="1"/>
  <c r="W42" i="35" s="1"/>
  <c r="W43" i="35" s="1"/>
  <c r="W44" i="35" s="1"/>
  <c r="W45" i="35" s="1"/>
  <c r="AL11" i="35"/>
  <c r="AL12" i="35"/>
  <c r="AL13" i="35"/>
  <c r="AL14" i="35" s="1"/>
  <c r="AL15" i="35" s="1"/>
  <c r="AL16" i="35" s="1"/>
  <c r="AL17" i="35" s="1"/>
  <c r="AL18" i="35" s="1"/>
  <c r="AL19" i="35" s="1"/>
  <c r="AL20" i="35" s="1"/>
  <c r="AL21" i="35"/>
  <c r="AL22" i="35" s="1"/>
  <c r="AL23" i="35" s="1"/>
  <c r="AL24" i="35" s="1"/>
  <c r="AL25" i="35" s="1"/>
  <c r="AL26" i="35" s="1"/>
  <c r="AL27" i="35" s="1"/>
  <c r="AL28" i="35" s="1"/>
  <c r="AL29" i="35" s="1"/>
  <c r="AL30" i="35" s="1"/>
  <c r="AL31" i="35" s="1"/>
  <c r="AL32" i="35" s="1"/>
  <c r="AL33" i="35" s="1"/>
  <c r="AL34" i="35" s="1"/>
  <c r="AL35" i="35" s="1"/>
  <c r="AL36" i="35" s="1"/>
  <c r="AL37" i="35" s="1"/>
  <c r="AL38" i="35" s="1"/>
  <c r="AL39" i="35" s="1"/>
  <c r="AL40" i="35" s="1"/>
  <c r="AL41" i="35" s="1"/>
  <c r="AL42" i="35" s="1"/>
  <c r="AL43" i="35" s="1"/>
  <c r="AL44" i="35" s="1"/>
  <c r="AL45" i="35" s="1"/>
  <c r="AN11" i="35"/>
  <c r="AN12" i="35"/>
  <c r="AN13" i="35"/>
  <c r="AN14" i="35" s="1"/>
  <c r="AN15" i="35" s="1"/>
  <c r="AN16" i="35" s="1"/>
  <c r="AN17" i="35" s="1"/>
  <c r="AN18" i="35" s="1"/>
  <c r="AN19" i="35" s="1"/>
  <c r="AN20" i="35" s="1"/>
  <c r="AN21" i="35" s="1"/>
  <c r="AN22" i="35" s="1"/>
  <c r="AN23" i="35" s="1"/>
  <c r="AN24" i="35" s="1"/>
  <c r="AN25" i="35" s="1"/>
  <c r="AN26" i="35" s="1"/>
  <c r="AN27" i="35" s="1"/>
  <c r="AN28" i="35" s="1"/>
  <c r="AN29" i="35" s="1"/>
  <c r="AN30" i="35" s="1"/>
  <c r="AN31" i="35" s="1"/>
  <c r="AN32" i="35" s="1"/>
  <c r="AN33" i="35" s="1"/>
  <c r="AN34" i="35" s="1"/>
  <c r="AN35" i="35" s="1"/>
  <c r="AN36" i="35" s="1"/>
  <c r="AN37" i="35" s="1"/>
  <c r="AN38" i="35" s="1"/>
  <c r="AN39" i="35" s="1"/>
  <c r="AN40" i="35" s="1"/>
  <c r="AN41" i="35" s="1"/>
  <c r="AN42" i="35" s="1"/>
  <c r="AN43" i="35" s="1"/>
  <c r="AN44" i="35" s="1"/>
  <c r="AN45" i="35" s="1"/>
  <c r="G399" i="41"/>
  <c r="G411" i="41" s="1"/>
  <c r="F411" i="41"/>
  <c r="G399" i="40"/>
  <c r="G411" i="40" s="1"/>
  <c r="H399" i="40"/>
  <c r="I399" i="40" s="1"/>
  <c r="F411" i="40"/>
  <c r="F338" i="38"/>
  <c r="G399" i="38"/>
  <c r="H399" i="38" s="1"/>
  <c r="I399" i="38" s="1"/>
  <c r="I411" i="38" s="1"/>
  <c r="J399" i="38"/>
  <c r="F116" i="38"/>
  <c r="G116" i="38" s="1"/>
  <c r="AW22" i="43"/>
  <c r="AP49" i="43"/>
  <c r="AP52" i="43" s="1"/>
  <c r="H177" i="33" s="1"/>
  <c r="H55" i="48" s="1"/>
  <c r="F7" i="38"/>
  <c r="F2" i="38" s="1"/>
  <c r="N82" i="33"/>
  <c r="G124" i="38" s="1"/>
  <c r="H124" i="38" s="1"/>
  <c r="I124" i="38" s="1"/>
  <c r="J124" i="38" s="1"/>
  <c r="K124" i="38" s="1"/>
  <c r="L124" i="38" s="1"/>
  <c r="M124" i="38" s="1"/>
  <c r="N124" i="38" s="1"/>
  <c r="O124" i="38" s="1"/>
  <c r="P124" i="38" s="1"/>
  <c r="Q124" i="38" s="1"/>
  <c r="R124" i="38" s="1"/>
  <c r="S124" i="38" s="1"/>
  <c r="T124" i="38" s="1"/>
  <c r="U124" i="38" s="1"/>
  <c r="V124" i="38" s="1"/>
  <c r="W124" i="38" s="1"/>
  <c r="X124" i="38" s="1"/>
  <c r="Y124" i="38" s="1"/>
  <c r="Z124" i="38" s="1"/>
  <c r="N76" i="33"/>
  <c r="G15" i="38"/>
  <c r="H15" i="38" s="1"/>
  <c r="I15" i="38" s="1"/>
  <c r="J15" i="38" s="1"/>
  <c r="K15" i="38" s="1"/>
  <c r="L15" i="38" s="1"/>
  <c r="F140" i="38"/>
  <c r="F156" i="38" s="1"/>
  <c r="F234" i="38"/>
  <c r="N81" i="33"/>
  <c r="G240" i="38"/>
  <c r="H240" i="38" s="1"/>
  <c r="I240" i="38" s="1"/>
  <c r="J240" i="38" s="1"/>
  <c r="K240" i="38" s="1"/>
  <c r="L240" i="38" s="1"/>
  <c r="M240" i="38" s="1"/>
  <c r="N240" i="38" s="1"/>
  <c r="O240" i="38" s="1"/>
  <c r="P240" i="38" s="1"/>
  <c r="Q240" i="38" s="1"/>
  <c r="R240" i="38" s="1"/>
  <c r="S240" i="38" s="1"/>
  <c r="T240" i="38" s="1"/>
  <c r="U240" i="38" s="1"/>
  <c r="V240" i="38" s="1"/>
  <c r="W240" i="38" s="1"/>
  <c r="X240" i="38" s="1"/>
  <c r="Y240" i="38" s="1"/>
  <c r="Z240" i="38" s="1"/>
  <c r="F284" i="38"/>
  <c r="G284" i="38" s="1"/>
  <c r="H284" i="38" s="1"/>
  <c r="I284" i="38" s="1"/>
  <c r="F411" i="38"/>
  <c r="G411" i="38"/>
  <c r="H411" i="38"/>
  <c r="F74" i="38"/>
  <c r="G74" i="38" s="1"/>
  <c r="AT9" i="43"/>
  <c r="AT10" i="43"/>
  <c r="AT14" i="43"/>
  <c r="AT15" i="43"/>
  <c r="AT6" i="43"/>
  <c r="AT7" i="43"/>
  <c r="AT11" i="43"/>
  <c r="AT12" i="43"/>
  <c r="AT25" i="43" s="1"/>
  <c r="AT13" i="43"/>
  <c r="AT16" i="43"/>
  <c r="AT17" i="43"/>
  <c r="AT18" i="43"/>
  <c r="AT19" i="43"/>
  <c r="AT20" i="43"/>
  <c r="AT21" i="43"/>
  <c r="AT22" i="43"/>
  <c r="P181" i="33"/>
  <c r="J22" i="32" s="1"/>
  <c r="O181" i="33"/>
  <c r="I22" i="32"/>
  <c r="G127" i="39" s="1"/>
  <c r="M4" i="43"/>
  <c r="AG7" i="43"/>
  <c r="N1" i="43"/>
  <c r="N2" i="43"/>
  <c r="N14" i="43" s="1"/>
  <c r="AG11" i="43"/>
  <c r="K6" i="43"/>
  <c r="AB23" i="43"/>
  <c r="AC21" i="43"/>
  <c r="AC23" i="43"/>
  <c r="AD23" i="43"/>
  <c r="AE23" i="43"/>
  <c r="AF23" i="43"/>
  <c r="AG6" i="43"/>
  <c r="AG8" i="43"/>
  <c r="AG9" i="43"/>
  <c r="AG10" i="43"/>
  <c r="AG12" i="43"/>
  <c r="AG13" i="43"/>
  <c r="AW13" i="43" s="1"/>
  <c r="AG14" i="43"/>
  <c r="AG15" i="43"/>
  <c r="AW15" i="43" s="1"/>
  <c r="AG16" i="43"/>
  <c r="AG17" i="43"/>
  <c r="AG18" i="43"/>
  <c r="AG19" i="43"/>
  <c r="AW19" i="43" s="1"/>
  <c r="AG20" i="43"/>
  <c r="AG21" i="43"/>
  <c r="AW21" i="43"/>
  <c r="AH22" i="43"/>
  <c r="AH23" i="43"/>
  <c r="E58" i="46"/>
  <c r="J34" i="31"/>
  <c r="A6" i="43"/>
  <c r="D6" i="46" s="1"/>
  <c r="A10" i="43"/>
  <c r="BA10" i="43" s="1"/>
  <c r="I53" i="45"/>
  <c r="E25" i="46"/>
  <c r="E26" i="46" s="1"/>
  <c r="E27" i="46" s="1"/>
  <c r="E28" i="46" s="1"/>
  <c r="E29" i="46" s="1"/>
  <c r="E30" i="46" s="1"/>
  <c r="E31" i="46" s="1"/>
  <c r="E32" i="46" s="1"/>
  <c r="E20" i="46"/>
  <c r="G25" i="46"/>
  <c r="G26" i="46"/>
  <c r="G20" i="46"/>
  <c r="D58" i="46"/>
  <c r="E7" i="46" s="1"/>
  <c r="D47" i="46"/>
  <c r="D49" i="46" s="1"/>
  <c r="E44" i="46"/>
  <c r="E47" i="46" s="1"/>
  <c r="E49" i="46" s="1"/>
  <c r="E45" i="46"/>
  <c r="E46" i="46"/>
  <c r="E48" i="46"/>
  <c r="F44" i="46"/>
  <c r="F45" i="46"/>
  <c r="F46" i="46"/>
  <c r="F47" i="46" s="1"/>
  <c r="F49" i="46" s="1"/>
  <c r="E9" i="46" s="1"/>
  <c r="F48" i="46"/>
  <c r="G41" i="46"/>
  <c r="G47" i="46" s="1"/>
  <c r="G49" i="46" s="1"/>
  <c r="G44" i="46"/>
  <c r="G45" i="46"/>
  <c r="G46" i="46"/>
  <c r="G48" i="46"/>
  <c r="J18" i="45"/>
  <c r="J10" i="45"/>
  <c r="F124" i="28" s="1"/>
  <c r="G12" i="45"/>
  <c r="J12" i="45" s="1"/>
  <c r="D124" i="28" s="1"/>
  <c r="H12" i="45"/>
  <c r="I12" i="45"/>
  <c r="I24" i="45" s="1"/>
  <c r="G13" i="45"/>
  <c r="I13" i="45"/>
  <c r="G31" i="45"/>
  <c r="G6" i="45" s="1"/>
  <c r="C32" i="45"/>
  <c r="I6" i="45"/>
  <c r="C40" i="45"/>
  <c r="G15" i="45" s="1"/>
  <c r="C25" i="46"/>
  <c r="C26" i="46"/>
  <c r="C27" i="46" s="1"/>
  <c r="C28" i="46" s="1"/>
  <c r="C29" i="46" s="1"/>
  <c r="C30" i="46" s="1"/>
  <c r="C31" i="46" s="1"/>
  <c r="C32" i="46" s="1"/>
  <c r="C33" i="46" s="1"/>
  <c r="H15" i="45"/>
  <c r="H31" i="45"/>
  <c r="E54" i="45"/>
  <c r="J54" i="45" s="1"/>
  <c r="C55" i="45"/>
  <c r="I54" i="45"/>
  <c r="I16" i="45"/>
  <c r="I19" i="45"/>
  <c r="I20" i="45"/>
  <c r="I21" i="45"/>
  <c r="H16" i="45"/>
  <c r="H19" i="45"/>
  <c r="H20" i="45"/>
  <c r="H21" i="45"/>
  <c r="G16" i="45"/>
  <c r="G19" i="45"/>
  <c r="J19" i="45"/>
  <c r="G20" i="45"/>
  <c r="J20" i="45"/>
  <c r="G21" i="45"/>
  <c r="E26" i="43"/>
  <c r="E25" i="43"/>
  <c r="E24" i="43"/>
  <c r="E23" i="43"/>
  <c r="G8" i="45"/>
  <c r="G14" i="45"/>
  <c r="J14" i="45" s="1"/>
  <c r="H8" i="45"/>
  <c r="J8" i="45" s="1"/>
  <c r="D126" i="28" s="1"/>
  <c r="H24" i="45"/>
  <c r="H14" i="45"/>
  <c r="H38" i="45"/>
  <c r="H13" i="45"/>
  <c r="J13" i="45"/>
  <c r="I8" i="45"/>
  <c r="I14" i="45"/>
  <c r="J46" i="45"/>
  <c r="J62" i="45"/>
  <c r="J63" i="45"/>
  <c r="J61" i="45"/>
  <c r="J45" i="45"/>
  <c r="J44" i="45"/>
  <c r="J43" i="45"/>
  <c r="J41" i="45"/>
  <c r="J40" i="45"/>
  <c r="J39" i="45"/>
  <c r="J38" i="45"/>
  <c r="J37" i="45"/>
  <c r="J35" i="45"/>
  <c r="J32" i="45"/>
  <c r="J21" i="45"/>
  <c r="H24" i="33"/>
  <c r="H26" i="33"/>
  <c r="AJ12" i="35"/>
  <c r="AP11" i="35"/>
  <c r="AP12" i="35"/>
  <c r="AP13" i="35"/>
  <c r="AP14" i="35" s="1"/>
  <c r="AP15" i="35" s="1"/>
  <c r="D4" i="35"/>
  <c r="G24" i="33"/>
  <c r="G26" i="33" s="1"/>
  <c r="U12" i="35"/>
  <c r="AA11" i="35"/>
  <c r="AA12" i="35"/>
  <c r="F24" i="33"/>
  <c r="F26" i="33"/>
  <c r="K11" i="35"/>
  <c r="K12" i="35"/>
  <c r="AR49" i="43"/>
  <c r="G178" i="33"/>
  <c r="H178" i="33" s="1"/>
  <c r="AP42" i="43"/>
  <c r="AU15" i="43"/>
  <c r="AR22" i="43"/>
  <c r="AR21" i="43"/>
  <c r="AR20" i="43"/>
  <c r="AR19" i="43"/>
  <c r="AR18" i="43"/>
  <c r="AR17" i="43"/>
  <c r="AR16" i="43"/>
  <c r="AR15" i="43"/>
  <c r="AR14" i="43"/>
  <c r="AR13" i="43"/>
  <c r="AR12" i="43"/>
  <c r="AR11" i="43"/>
  <c r="AR10" i="43"/>
  <c r="AR9" i="43"/>
  <c r="AR7" i="43"/>
  <c r="AR6" i="43"/>
  <c r="AW36" i="43"/>
  <c r="AN31" i="43"/>
  <c r="H62" i="33"/>
  <c r="G62" i="33"/>
  <c r="AN33" i="43"/>
  <c r="AN30" i="43"/>
  <c r="Q35" i="33"/>
  <c r="Q36" i="33" s="1"/>
  <c r="AA1" i="43"/>
  <c r="AA4" i="43"/>
  <c r="AQ4" i="43" s="1"/>
  <c r="Z4" i="43"/>
  <c r="AP4" i="43" s="1"/>
  <c r="AU22" i="43"/>
  <c r="AU13" i="43"/>
  <c r="AS12" i="43"/>
  <c r="AS10" i="43"/>
  <c r="AS8" i="43"/>
  <c r="AS7" i="43"/>
  <c r="AS6" i="43"/>
  <c r="AS9" i="43"/>
  <c r="AW6" i="43"/>
  <c r="AX10" i="43"/>
  <c r="AX9" i="43"/>
  <c r="AX8" i="43"/>
  <c r="AX7" i="43"/>
  <c r="AX6" i="43"/>
  <c r="AV10" i="43"/>
  <c r="AV9" i="43"/>
  <c r="AV8" i="43"/>
  <c r="AV7" i="43"/>
  <c r="AV6" i="43"/>
  <c r="AT8" i="43"/>
  <c r="AU21" i="43"/>
  <c r="AU20" i="43"/>
  <c r="AU19" i="43"/>
  <c r="AU18" i="43"/>
  <c r="AU17" i="43"/>
  <c r="AU16" i="43"/>
  <c r="AU14" i="43"/>
  <c r="AU12" i="43"/>
  <c r="AU11" i="43"/>
  <c r="AU25" i="43" s="1"/>
  <c r="G160" i="33" s="1"/>
  <c r="G172" i="33" s="1"/>
  <c r="AU10" i="43"/>
  <c r="AU9" i="43"/>
  <c r="AU8" i="43"/>
  <c r="AU6" i="43"/>
  <c r="AU7" i="43"/>
  <c r="H26" i="43"/>
  <c r="G26" i="43"/>
  <c r="F26" i="43"/>
  <c r="H25" i="43"/>
  <c r="G25" i="43"/>
  <c r="F25" i="43"/>
  <c r="H24" i="43"/>
  <c r="G24" i="43"/>
  <c r="F24" i="43"/>
  <c r="H23" i="43"/>
  <c r="G23" i="43"/>
  <c r="F23" i="43"/>
  <c r="AB1" i="43"/>
  <c r="H194" i="33"/>
  <c r="G194" i="33"/>
  <c r="G35" i="33"/>
  <c r="H181" i="33"/>
  <c r="G181" i="33"/>
  <c r="E76" i="28"/>
  <c r="E7" i="28"/>
  <c r="F7" i="28" s="1"/>
  <c r="G7" i="28" s="1"/>
  <c r="H7" i="28" s="1"/>
  <c r="I7" i="28" s="1"/>
  <c r="J7" i="28" s="1"/>
  <c r="K7" i="28" s="1"/>
  <c r="L7" i="28" s="1"/>
  <c r="M7" i="28" s="1"/>
  <c r="N7" i="28" s="1"/>
  <c r="F371" i="41"/>
  <c r="G359" i="41"/>
  <c r="F338" i="40"/>
  <c r="G338" i="40" s="1"/>
  <c r="G357" i="40" s="1"/>
  <c r="G397" i="40" s="1"/>
  <c r="G359" i="40"/>
  <c r="G371" i="40"/>
  <c r="F371" i="40"/>
  <c r="H359" i="40"/>
  <c r="N194" i="33"/>
  <c r="O194" i="33"/>
  <c r="P194" i="33"/>
  <c r="N193" i="33"/>
  <c r="O193" i="33"/>
  <c r="P193" i="33"/>
  <c r="N192" i="33"/>
  <c r="O192" i="33" s="1"/>
  <c r="P192" i="33" s="1"/>
  <c r="F371" i="38"/>
  <c r="G359" i="38"/>
  <c r="D333" i="41"/>
  <c r="D344" i="40"/>
  <c r="D333" i="40"/>
  <c r="D333" i="38"/>
  <c r="O96" i="33"/>
  <c r="P96" i="33" s="1"/>
  <c r="F294" i="41"/>
  <c r="F317" i="41"/>
  <c r="O97" i="33"/>
  <c r="P97" i="33"/>
  <c r="O124" i="33"/>
  <c r="P124" i="33"/>
  <c r="O123" i="33"/>
  <c r="P123" i="33" s="1"/>
  <c r="O122" i="33"/>
  <c r="P122" i="33"/>
  <c r="O121" i="33"/>
  <c r="P121" i="33" s="1"/>
  <c r="O95" i="33"/>
  <c r="P95" i="33"/>
  <c r="G80" i="33"/>
  <c r="H80" i="33" s="1"/>
  <c r="H79" i="33" s="1"/>
  <c r="G76" i="33"/>
  <c r="H76" i="33" s="1"/>
  <c r="G72" i="33"/>
  <c r="H72" i="33" s="1"/>
  <c r="G68" i="33"/>
  <c r="H68" i="33"/>
  <c r="G64" i="33"/>
  <c r="H64" i="33" s="1"/>
  <c r="G53" i="33"/>
  <c r="G49" i="33"/>
  <c r="H49" i="33" s="1"/>
  <c r="G45" i="33"/>
  <c r="H45" i="33" s="1"/>
  <c r="G41" i="33"/>
  <c r="H41" i="33" s="1"/>
  <c r="G37" i="33"/>
  <c r="G36" i="33" s="1"/>
  <c r="H37" i="33"/>
  <c r="H126" i="33"/>
  <c r="G126" i="33"/>
  <c r="H161" i="33"/>
  <c r="G161" i="33"/>
  <c r="I34" i="31"/>
  <c r="P86" i="33"/>
  <c r="O86" i="33"/>
  <c r="P85" i="33"/>
  <c r="O85" i="33"/>
  <c r="N85" i="33"/>
  <c r="N3" i="31"/>
  <c r="N4" i="31" s="1"/>
  <c r="N22" i="31" s="1"/>
  <c r="H90" i="33"/>
  <c r="G90" i="33"/>
  <c r="F90" i="33"/>
  <c r="H89" i="33"/>
  <c r="G89" i="33"/>
  <c r="F89" i="33"/>
  <c r="O3" i="31"/>
  <c r="O4" i="31"/>
  <c r="O22" i="31" s="1"/>
  <c r="F284" i="41"/>
  <c r="F290" i="41" s="1"/>
  <c r="F334" i="41" s="1"/>
  <c r="F255" i="41"/>
  <c r="G255" i="41" s="1"/>
  <c r="H255" i="41" s="1"/>
  <c r="I255" i="41" s="1"/>
  <c r="J255" i="41" s="1"/>
  <c r="K255" i="41" s="1"/>
  <c r="L255" i="41" s="1"/>
  <c r="M255" i="41" s="1"/>
  <c r="N255" i="41" s="1"/>
  <c r="O255" i="41" s="1"/>
  <c r="P255" i="41" s="1"/>
  <c r="Q255" i="41" s="1"/>
  <c r="R255" i="41" s="1"/>
  <c r="S255" i="41" s="1"/>
  <c r="T255" i="41" s="1"/>
  <c r="U255" i="41" s="1"/>
  <c r="V255" i="41" s="1"/>
  <c r="W255" i="41" s="1"/>
  <c r="X255" i="41" s="1"/>
  <c r="Y255" i="41" s="1"/>
  <c r="Z255" i="41" s="1"/>
  <c r="F234" i="40"/>
  <c r="G234" i="40" s="1"/>
  <c r="H234" i="40" s="1"/>
  <c r="I234" i="40" s="1"/>
  <c r="F234" i="41"/>
  <c r="F235" i="41" s="1"/>
  <c r="F236" i="41" s="1"/>
  <c r="F210" i="41"/>
  <c r="G210" i="41" s="1"/>
  <c r="H210" i="41" s="1"/>
  <c r="I210" i="41" s="1"/>
  <c r="J210" i="41" s="1"/>
  <c r="K210" i="41" s="1"/>
  <c r="L210" i="41" s="1"/>
  <c r="M210" i="41" s="1"/>
  <c r="N210" i="41" s="1"/>
  <c r="O210" i="41" s="1"/>
  <c r="P210" i="41" s="1"/>
  <c r="Q210" i="41" s="1"/>
  <c r="R210" i="41" s="1"/>
  <c r="S210" i="41" s="1"/>
  <c r="T210" i="41" s="1"/>
  <c r="U210" i="41" s="1"/>
  <c r="V210" i="41" s="1"/>
  <c r="W210" i="41" s="1"/>
  <c r="X210" i="41" s="1"/>
  <c r="Y210" i="41" s="1"/>
  <c r="Z210" i="41" s="1"/>
  <c r="F166" i="41"/>
  <c r="G166" i="41" s="1"/>
  <c r="H166" i="41" s="1"/>
  <c r="F140" i="41"/>
  <c r="F212" i="41" s="1"/>
  <c r="H202" i="33"/>
  <c r="H189" i="33"/>
  <c r="F116" i="41"/>
  <c r="G116" i="41" s="1"/>
  <c r="F95" i="41"/>
  <c r="G95" i="41" s="1"/>
  <c r="H95" i="41" s="1"/>
  <c r="I95" i="41" s="1"/>
  <c r="F74" i="41"/>
  <c r="F53" i="41"/>
  <c r="G53" i="41" s="1"/>
  <c r="F30" i="41"/>
  <c r="F7" i="41"/>
  <c r="D205" i="41"/>
  <c r="D199" i="41"/>
  <c r="D197" i="41"/>
  <c r="D195" i="41"/>
  <c r="D194" i="41"/>
  <c r="D193" i="41"/>
  <c r="D192" i="41"/>
  <c r="D191" i="41"/>
  <c r="D190" i="41"/>
  <c r="D189" i="41"/>
  <c r="D187" i="41"/>
  <c r="D186" i="41"/>
  <c r="F294" i="40"/>
  <c r="F284" i="40"/>
  <c r="G284" i="40" s="1"/>
  <c r="H284" i="40" s="1"/>
  <c r="I284" i="40" s="1"/>
  <c r="F255" i="40"/>
  <c r="G255" i="40" s="1"/>
  <c r="H255" i="40" s="1"/>
  <c r="I255" i="40" s="1"/>
  <c r="J255" i="40" s="1"/>
  <c r="K255" i="40" s="1"/>
  <c r="L255" i="40" s="1"/>
  <c r="M255" i="40" s="1"/>
  <c r="N255" i="40" s="1"/>
  <c r="O255" i="40" s="1"/>
  <c r="P255" i="40" s="1"/>
  <c r="Q255" i="40" s="1"/>
  <c r="R255" i="40" s="1"/>
  <c r="S255" i="40" s="1"/>
  <c r="T255" i="40" s="1"/>
  <c r="U255" i="40" s="1"/>
  <c r="V255" i="40" s="1"/>
  <c r="W255" i="40" s="1"/>
  <c r="X255" i="40" s="1"/>
  <c r="Y255" i="40" s="1"/>
  <c r="Z255" i="40" s="1"/>
  <c r="F210" i="40"/>
  <c r="G210" i="40" s="1"/>
  <c r="H210" i="40" s="1"/>
  <c r="I210" i="40" s="1"/>
  <c r="J210" i="40" s="1"/>
  <c r="K210" i="40" s="1"/>
  <c r="L210" i="40" s="1"/>
  <c r="M210" i="40" s="1"/>
  <c r="N210" i="40" s="1"/>
  <c r="O210" i="40" s="1"/>
  <c r="P210" i="40" s="1"/>
  <c r="Q210" i="40" s="1"/>
  <c r="R210" i="40" s="1"/>
  <c r="S210" i="40" s="1"/>
  <c r="T210" i="40" s="1"/>
  <c r="U210" i="40" s="1"/>
  <c r="V210" i="40" s="1"/>
  <c r="W210" i="40" s="1"/>
  <c r="X210" i="40" s="1"/>
  <c r="Y210" i="40" s="1"/>
  <c r="Z210" i="40" s="1"/>
  <c r="F166" i="40"/>
  <c r="G166" i="40" s="1"/>
  <c r="H166" i="40" s="1"/>
  <c r="I166" i="40" s="1"/>
  <c r="J166" i="40" s="1"/>
  <c r="K166" i="40" s="1"/>
  <c r="L166" i="40" s="1"/>
  <c r="F140" i="40"/>
  <c r="F212" i="40" s="1"/>
  <c r="F220" i="40" s="1"/>
  <c r="F116" i="40"/>
  <c r="G116" i="40" s="1"/>
  <c r="H116" i="40" s="1"/>
  <c r="F95" i="40"/>
  <c r="G95" i="40" s="1"/>
  <c r="H95" i="40" s="1"/>
  <c r="I95" i="40" s="1"/>
  <c r="J95" i="40" s="1"/>
  <c r="K95" i="40" s="1"/>
  <c r="L95" i="40" s="1"/>
  <c r="M95" i="40" s="1"/>
  <c r="N95" i="40" s="1"/>
  <c r="O95" i="40" s="1"/>
  <c r="F74" i="40"/>
  <c r="G74" i="40" s="1"/>
  <c r="H74" i="40" s="1"/>
  <c r="I74" i="40" s="1"/>
  <c r="J74" i="40" s="1"/>
  <c r="K74" i="40" s="1"/>
  <c r="F53" i="40"/>
  <c r="G53" i="40" s="1"/>
  <c r="H53" i="40" s="1"/>
  <c r="I53" i="40" s="1"/>
  <c r="J53" i="40" s="1"/>
  <c r="F30" i="40"/>
  <c r="G30" i="40" s="1"/>
  <c r="F53" i="38"/>
  <c r="F30" i="38"/>
  <c r="G30" i="38" s="1"/>
  <c r="F7" i="40"/>
  <c r="G7" i="40" s="1"/>
  <c r="D205" i="40"/>
  <c r="D199" i="40"/>
  <c r="D197" i="40"/>
  <c r="D195" i="40"/>
  <c r="D194" i="40"/>
  <c r="D193" i="40"/>
  <c r="D192" i="40"/>
  <c r="D191" i="40"/>
  <c r="D190" i="40"/>
  <c r="D189" i="40"/>
  <c r="D187" i="40"/>
  <c r="D186" i="40"/>
  <c r="H198" i="33"/>
  <c r="G198" i="33"/>
  <c r="F198" i="33"/>
  <c r="H192" i="33"/>
  <c r="G192" i="33"/>
  <c r="F192" i="33"/>
  <c r="H185" i="33"/>
  <c r="H186" i="33" s="1"/>
  <c r="G185" i="33"/>
  <c r="G186" i="33" s="1"/>
  <c r="F185" i="33"/>
  <c r="G30" i="41"/>
  <c r="H30" i="41" s="1"/>
  <c r="G234" i="41"/>
  <c r="H234" i="41" s="1"/>
  <c r="I234" i="41" s="1"/>
  <c r="H78" i="33"/>
  <c r="G78" i="33"/>
  <c r="G51" i="33"/>
  <c r="F78" i="33"/>
  <c r="F51" i="33" s="1"/>
  <c r="F52" i="33" s="1"/>
  <c r="F73" i="48" s="1"/>
  <c r="F79" i="33"/>
  <c r="F66" i="48" s="1"/>
  <c r="H51" i="33"/>
  <c r="G79" i="33"/>
  <c r="F112" i="33"/>
  <c r="G112" i="33"/>
  <c r="G114" i="33"/>
  <c r="G115" i="33"/>
  <c r="O171" i="33"/>
  <c r="P171" i="33"/>
  <c r="O170" i="33"/>
  <c r="P170" i="33"/>
  <c r="O169" i="33"/>
  <c r="P169" i="33" s="1"/>
  <c r="O168" i="33"/>
  <c r="P168" i="33"/>
  <c r="O167" i="33"/>
  <c r="P167" i="33"/>
  <c r="P189" i="33"/>
  <c r="O189" i="33"/>
  <c r="N189" i="33"/>
  <c r="F294" i="38"/>
  <c r="F317" i="38" s="1"/>
  <c r="F255" i="38"/>
  <c r="G255" i="38" s="1"/>
  <c r="H255" i="38" s="1"/>
  <c r="I255" i="38" s="1"/>
  <c r="J255" i="38" s="1"/>
  <c r="K255" i="38" s="1"/>
  <c r="L255" i="38" s="1"/>
  <c r="M255" i="38" s="1"/>
  <c r="N255" i="38" s="1"/>
  <c r="O255" i="38" s="1"/>
  <c r="P255" i="38" s="1"/>
  <c r="Q255" i="38" s="1"/>
  <c r="R255" i="38" s="1"/>
  <c r="S255" i="38" s="1"/>
  <c r="T255" i="38" s="1"/>
  <c r="U255" i="38" s="1"/>
  <c r="V255" i="38" s="1"/>
  <c r="W255" i="38" s="1"/>
  <c r="X255" i="38" s="1"/>
  <c r="Y255" i="38" s="1"/>
  <c r="Z255" i="38" s="1"/>
  <c r="F210" i="38"/>
  <c r="G210" i="38" s="1"/>
  <c r="H210" i="38" s="1"/>
  <c r="I210" i="38" s="1"/>
  <c r="J210" i="38" s="1"/>
  <c r="K210" i="38" s="1"/>
  <c r="L210" i="38" s="1"/>
  <c r="M210" i="38" s="1"/>
  <c r="N210" i="38" s="1"/>
  <c r="O210" i="38" s="1"/>
  <c r="P210" i="38" s="1"/>
  <c r="Q210" i="38" s="1"/>
  <c r="R210" i="38" s="1"/>
  <c r="S210" i="38" s="1"/>
  <c r="T210" i="38" s="1"/>
  <c r="U210" i="38" s="1"/>
  <c r="V210" i="38" s="1"/>
  <c r="W210" i="38" s="1"/>
  <c r="X210" i="38" s="1"/>
  <c r="Y210" i="38" s="1"/>
  <c r="Z210" i="38" s="1"/>
  <c r="P82" i="33"/>
  <c r="G124" i="41"/>
  <c r="H124" i="41" s="1"/>
  <c r="I124" i="41" s="1"/>
  <c r="J124" i="41" s="1"/>
  <c r="K124" i="41" s="1"/>
  <c r="L124" i="41" s="1"/>
  <c r="M124" i="41" s="1"/>
  <c r="N124" i="41" s="1"/>
  <c r="O124" i="41" s="1"/>
  <c r="P124" i="41" s="1"/>
  <c r="Q124" i="41" s="1"/>
  <c r="R124" i="41" s="1"/>
  <c r="S124" i="41" s="1"/>
  <c r="T124" i="41" s="1"/>
  <c r="U124" i="41" s="1"/>
  <c r="V124" i="41" s="1"/>
  <c r="W124" i="41" s="1"/>
  <c r="X124" i="41" s="1"/>
  <c r="Y124" i="41" s="1"/>
  <c r="Z124" i="41" s="1"/>
  <c r="O82" i="33"/>
  <c r="G124" i="40" s="1"/>
  <c r="H124" i="40" s="1"/>
  <c r="I124" i="40" s="1"/>
  <c r="J124" i="40" s="1"/>
  <c r="K124" i="40" s="1"/>
  <c r="L124" i="40" s="1"/>
  <c r="M124" i="40" s="1"/>
  <c r="N124" i="40" s="1"/>
  <c r="O124" i="40" s="1"/>
  <c r="P124" i="40" s="1"/>
  <c r="Q124" i="40" s="1"/>
  <c r="R124" i="40" s="1"/>
  <c r="S124" i="40" s="1"/>
  <c r="T124" i="40" s="1"/>
  <c r="U124" i="40" s="1"/>
  <c r="V124" i="40" s="1"/>
  <c r="W124" i="40" s="1"/>
  <c r="X124" i="40" s="1"/>
  <c r="Y124" i="40" s="1"/>
  <c r="Z124" i="40" s="1"/>
  <c r="P81" i="33"/>
  <c r="G240" i="41"/>
  <c r="H240" i="41" s="1"/>
  <c r="I240" i="41" s="1"/>
  <c r="J240" i="41" s="1"/>
  <c r="K240" i="41" s="1"/>
  <c r="L240" i="41" s="1"/>
  <c r="M240" i="41" s="1"/>
  <c r="N240" i="41" s="1"/>
  <c r="O240" i="41" s="1"/>
  <c r="P240" i="41" s="1"/>
  <c r="Q240" i="41" s="1"/>
  <c r="R240" i="41" s="1"/>
  <c r="S240" i="41" s="1"/>
  <c r="T240" i="41" s="1"/>
  <c r="U240" i="41" s="1"/>
  <c r="V240" i="41" s="1"/>
  <c r="W240" i="41" s="1"/>
  <c r="X240" i="41" s="1"/>
  <c r="Y240" i="41" s="1"/>
  <c r="Z240" i="41" s="1"/>
  <c r="O81" i="33"/>
  <c r="G240" i="40" s="1"/>
  <c r="H240" i="40" s="1"/>
  <c r="I240" i="40" s="1"/>
  <c r="J240" i="40" s="1"/>
  <c r="K240" i="40" s="1"/>
  <c r="L240" i="40" s="1"/>
  <c r="M240" i="40" s="1"/>
  <c r="N240" i="40" s="1"/>
  <c r="O240" i="40" s="1"/>
  <c r="P240" i="40" s="1"/>
  <c r="Q240" i="40" s="1"/>
  <c r="R240" i="40" s="1"/>
  <c r="S240" i="40" s="1"/>
  <c r="T240" i="40" s="1"/>
  <c r="U240" i="40" s="1"/>
  <c r="V240" i="40" s="1"/>
  <c r="W240" i="40" s="1"/>
  <c r="X240" i="40" s="1"/>
  <c r="Y240" i="40" s="1"/>
  <c r="Z240" i="40" s="1"/>
  <c r="P80" i="33"/>
  <c r="G101" i="41" s="1"/>
  <c r="H101" i="41" s="1"/>
  <c r="I101" i="41" s="1"/>
  <c r="J101" i="41" s="1"/>
  <c r="K101" i="41" s="1"/>
  <c r="L101" i="41" s="1"/>
  <c r="M101" i="41" s="1"/>
  <c r="N101" i="41" s="1"/>
  <c r="O101" i="41" s="1"/>
  <c r="P101" i="41" s="1"/>
  <c r="Q101" i="41" s="1"/>
  <c r="R101" i="41" s="1"/>
  <c r="S101" i="41" s="1"/>
  <c r="T101" i="41" s="1"/>
  <c r="U101" i="41" s="1"/>
  <c r="V101" i="41" s="1"/>
  <c r="W101" i="41" s="1"/>
  <c r="X101" i="41" s="1"/>
  <c r="Y101" i="41" s="1"/>
  <c r="Z101" i="41" s="1"/>
  <c r="O80" i="33"/>
  <c r="G101" i="40"/>
  <c r="H101" i="40" s="1"/>
  <c r="I101" i="40" s="1"/>
  <c r="J101" i="40" s="1"/>
  <c r="K101" i="40" s="1"/>
  <c r="L101" i="40" s="1"/>
  <c r="M101" i="40" s="1"/>
  <c r="N101" i="40" s="1"/>
  <c r="O101" i="40" s="1"/>
  <c r="P101" i="40" s="1"/>
  <c r="Q101" i="40" s="1"/>
  <c r="R101" i="40" s="1"/>
  <c r="S101" i="40" s="1"/>
  <c r="T101" i="40" s="1"/>
  <c r="U101" i="40" s="1"/>
  <c r="V101" i="40" s="1"/>
  <c r="W101" i="40" s="1"/>
  <c r="X101" i="40" s="1"/>
  <c r="Y101" i="40" s="1"/>
  <c r="Z101" i="40" s="1"/>
  <c r="N80" i="33"/>
  <c r="G101" i="38"/>
  <c r="H101" i="38" s="1"/>
  <c r="I101" i="38" s="1"/>
  <c r="J101" i="38" s="1"/>
  <c r="K101" i="38" s="1"/>
  <c r="L101" i="38" s="1"/>
  <c r="M101" i="38" s="1"/>
  <c r="N101" i="38" s="1"/>
  <c r="O101" i="38" s="1"/>
  <c r="P101" i="38" s="1"/>
  <c r="Q101" i="38" s="1"/>
  <c r="R101" i="38" s="1"/>
  <c r="S101" i="38" s="1"/>
  <c r="T101" i="38" s="1"/>
  <c r="U101" i="38" s="1"/>
  <c r="V101" i="38" s="1"/>
  <c r="W101" i="38" s="1"/>
  <c r="X101" i="38" s="1"/>
  <c r="Y101" i="38" s="1"/>
  <c r="Z101" i="38" s="1"/>
  <c r="P79" i="33"/>
  <c r="G80" i="41"/>
  <c r="H80" i="41" s="1"/>
  <c r="I80" i="41" s="1"/>
  <c r="J80" i="41" s="1"/>
  <c r="K80" i="41" s="1"/>
  <c r="L80" i="41" s="1"/>
  <c r="M80" i="41" s="1"/>
  <c r="N80" i="41" s="1"/>
  <c r="O80" i="41" s="1"/>
  <c r="P80" i="41" s="1"/>
  <c r="Q80" i="41" s="1"/>
  <c r="R80" i="41" s="1"/>
  <c r="S80" i="41" s="1"/>
  <c r="T80" i="41" s="1"/>
  <c r="U80" i="41" s="1"/>
  <c r="V80" i="41" s="1"/>
  <c r="W80" i="41" s="1"/>
  <c r="X80" i="41" s="1"/>
  <c r="Y80" i="41" s="1"/>
  <c r="Z80" i="41" s="1"/>
  <c r="O79" i="33"/>
  <c r="G80" i="40"/>
  <c r="H80" i="40" s="1"/>
  <c r="I80" i="40" s="1"/>
  <c r="J80" i="40" s="1"/>
  <c r="K80" i="40" s="1"/>
  <c r="L80" i="40" s="1"/>
  <c r="M80" i="40" s="1"/>
  <c r="N80" i="40" s="1"/>
  <c r="O80" i="40" s="1"/>
  <c r="P80" i="40" s="1"/>
  <c r="Q80" i="40" s="1"/>
  <c r="R80" i="40" s="1"/>
  <c r="S80" i="40" s="1"/>
  <c r="T80" i="40" s="1"/>
  <c r="U80" i="40" s="1"/>
  <c r="V80" i="40" s="1"/>
  <c r="W80" i="40" s="1"/>
  <c r="X80" i="40" s="1"/>
  <c r="Y80" i="40" s="1"/>
  <c r="Z80" i="40" s="1"/>
  <c r="N79" i="33"/>
  <c r="G80" i="38" s="1"/>
  <c r="H80" i="38" s="1"/>
  <c r="I80" i="38" s="1"/>
  <c r="J80" i="38" s="1"/>
  <c r="K80" i="38" s="1"/>
  <c r="L80" i="38" s="1"/>
  <c r="M80" i="38" s="1"/>
  <c r="N80" i="38" s="1"/>
  <c r="O80" i="38" s="1"/>
  <c r="P80" i="38" s="1"/>
  <c r="Q80" i="38" s="1"/>
  <c r="R80" i="38" s="1"/>
  <c r="S80" i="38" s="1"/>
  <c r="T80" i="38" s="1"/>
  <c r="U80" i="38" s="1"/>
  <c r="V80" i="38" s="1"/>
  <c r="W80" i="38" s="1"/>
  <c r="X80" i="38" s="1"/>
  <c r="Y80" i="38" s="1"/>
  <c r="Z80" i="38" s="1"/>
  <c r="P78" i="33"/>
  <c r="G59" i="41"/>
  <c r="H59" i="41" s="1"/>
  <c r="I59" i="41" s="1"/>
  <c r="J59" i="41" s="1"/>
  <c r="K59" i="41" s="1"/>
  <c r="L59" i="41" s="1"/>
  <c r="M59" i="41" s="1"/>
  <c r="N59" i="41" s="1"/>
  <c r="O59" i="41" s="1"/>
  <c r="P59" i="41" s="1"/>
  <c r="Q59" i="41" s="1"/>
  <c r="R59" i="41" s="1"/>
  <c r="S59" i="41" s="1"/>
  <c r="T59" i="41" s="1"/>
  <c r="U59" i="41" s="1"/>
  <c r="V59" i="41" s="1"/>
  <c r="W59" i="41" s="1"/>
  <c r="X59" i="41" s="1"/>
  <c r="Y59" i="41" s="1"/>
  <c r="Z59" i="41" s="1"/>
  <c r="O78" i="33"/>
  <c r="G59" i="40" s="1"/>
  <c r="H59" i="40" s="1"/>
  <c r="I59" i="40" s="1"/>
  <c r="J59" i="40" s="1"/>
  <c r="K59" i="40" s="1"/>
  <c r="L59" i="40" s="1"/>
  <c r="M59" i="40" s="1"/>
  <c r="N59" i="40" s="1"/>
  <c r="O59" i="40" s="1"/>
  <c r="P59" i="40" s="1"/>
  <c r="Q59" i="40" s="1"/>
  <c r="R59" i="40" s="1"/>
  <c r="S59" i="40" s="1"/>
  <c r="T59" i="40" s="1"/>
  <c r="U59" i="40" s="1"/>
  <c r="V59" i="40" s="1"/>
  <c r="W59" i="40" s="1"/>
  <c r="X59" i="40" s="1"/>
  <c r="Y59" i="40" s="1"/>
  <c r="Z59" i="40" s="1"/>
  <c r="N78" i="33"/>
  <c r="G59" i="38"/>
  <c r="H59" i="38" s="1"/>
  <c r="I59" i="38" s="1"/>
  <c r="J59" i="38" s="1"/>
  <c r="K59" i="38" s="1"/>
  <c r="L59" i="38" s="1"/>
  <c r="M59" i="38" s="1"/>
  <c r="N59" i="38" s="1"/>
  <c r="O59" i="38" s="1"/>
  <c r="P59" i="38" s="1"/>
  <c r="Q59" i="38" s="1"/>
  <c r="R59" i="38" s="1"/>
  <c r="S59" i="38" s="1"/>
  <c r="T59" i="38" s="1"/>
  <c r="U59" i="38" s="1"/>
  <c r="V59" i="38" s="1"/>
  <c r="W59" i="38" s="1"/>
  <c r="X59" i="38" s="1"/>
  <c r="Y59" i="38" s="1"/>
  <c r="Z59" i="38" s="1"/>
  <c r="P77" i="33"/>
  <c r="G38" i="41"/>
  <c r="H38" i="41" s="1"/>
  <c r="I38" i="41" s="1"/>
  <c r="J38" i="41" s="1"/>
  <c r="K38" i="41" s="1"/>
  <c r="L38" i="41" s="1"/>
  <c r="M38" i="41" s="1"/>
  <c r="N38" i="41" s="1"/>
  <c r="O38" i="41" s="1"/>
  <c r="P38" i="41" s="1"/>
  <c r="Q38" i="41" s="1"/>
  <c r="R38" i="41" s="1"/>
  <c r="S38" i="41" s="1"/>
  <c r="T38" i="41" s="1"/>
  <c r="U38" i="41" s="1"/>
  <c r="V38" i="41" s="1"/>
  <c r="W38" i="41" s="1"/>
  <c r="X38" i="41" s="1"/>
  <c r="Y38" i="41" s="1"/>
  <c r="Z38" i="41" s="1"/>
  <c r="O77" i="33"/>
  <c r="G38" i="40"/>
  <c r="H38" i="40" s="1"/>
  <c r="I38" i="40" s="1"/>
  <c r="J38" i="40" s="1"/>
  <c r="K38" i="40" s="1"/>
  <c r="L38" i="40" s="1"/>
  <c r="M38" i="40" s="1"/>
  <c r="N38" i="40" s="1"/>
  <c r="O38" i="40" s="1"/>
  <c r="P38" i="40" s="1"/>
  <c r="Q38" i="40" s="1"/>
  <c r="R38" i="40" s="1"/>
  <c r="S38" i="40" s="1"/>
  <c r="T38" i="40" s="1"/>
  <c r="U38" i="40" s="1"/>
  <c r="V38" i="40" s="1"/>
  <c r="W38" i="40" s="1"/>
  <c r="X38" i="40" s="1"/>
  <c r="Y38" i="40" s="1"/>
  <c r="Z38" i="40" s="1"/>
  <c r="N77" i="33"/>
  <c r="G38" i="38"/>
  <c r="H38" i="38" s="1"/>
  <c r="I38" i="38" s="1"/>
  <c r="J38" i="38" s="1"/>
  <c r="K38" i="38" s="1"/>
  <c r="L38" i="38" s="1"/>
  <c r="M38" i="38" s="1"/>
  <c r="N38" i="38" s="1"/>
  <c r="O38" i="38" s="1"/>
  <c r="P38" i="38" s="1"/>
  <c r="Q38" i="38" s="1"/>
  <c r="R38" i="38" s="1"/>
  <c r="S38" i="38" s="1"/>
  <c r="T38" i="38" s="1"/>
  <c r="U38" i="38" s="1"/>
  <c r="V38" i="38" s="1"/>
  <c r="W38" i="38" s="1"/>
  <c r="X38" i="38" s="1"/>
  <c r="Y38" i="38" s="1"/>
  <c r="Z38" i="38" s="1"/>
  <c r="P76" i="33"/>
  <c r="G15" i="41"/>
  <c r="H15" i="41" s="1"/>
  <c r="I15" i="41" s="1"/>
  <c r="J15" i="41" s="1"/>
  <c r="K15" i="41" s="1"/>
  <c r="L15" i="41" s="1"/>
  <c r="M15" i="41" s="1"/>
  <c r="N15" i="41" s="1"/>
  <c r="O15" i="41" s="1"/>
  <c r="P15" i="41" s="1"/>
  <c r="Q15" i="41" s="1"/>
  <c r="R15" i="41" s="1"/>
  <c r="S15" i="41" s="1"/>
  <c r="T15" i="41" s="1"/>
  <c r="U15" i="41" s="1"/>
  <c r="V15" i="41" s="1"/>
  <c r="W15" i="41" s="1"/>
  <c r="X15" i="41" s="1"/>
  <c r="Y15" i="41" s="1"/>
  <c r="Z15" i="41" s="1"/>
  <c r="O76" i="33"/>
  <c r="G15" i="40" s="1"/>
  <c r="H15" i="40" s="1"/>
  <c r="I15" i="40" s="1"/>
  <c r="J15" i="40" s="1"/>
  <c r="K15" i="40" s="1"/>
  <c r="L15" i="40" s="1"/>
  <c r="M15" i="40" s="1"/>
  <c r="N15" i="40" s="1"/>
  <c r="O15" i="40" s="1"/>
  <c r="P15" i="40" s="1"/>
  <c r="Q15" i="40" s="1"/>
  <c r="R15" i="40" s="1"/>
  <c r="S15" i="40" s="1"/>
  <c r="T15" i="40" s="1"/>
  <c r="U15" i="40" s="1"/>
  <c r="V15" i="40" s="1"/>
  <c r="W15" i="40" s="1"/>
  <c r="X15" i="40" s="1"/>
  <c r="Y15" i="40" s="1"/>
  <c r="Z15" i="40" s="1"/>
  <c r="M15" i="38"/>
  <c r="N15" i="38" s="1"/>
  <c r="O15" i="38" s="1"/>
  <c r="P15" i="38" s="1"/>
  <c r="Q15" i="38" s="1"/>
  <c r="R15" i="38" s="1"/>
  <c r="S15" i="38" s="1"/>
  <c r="T15" i="38" s="1"/>
  <c r="U15" i="38" s="1"/>
  <c r="V15" i="38" s="1"/>
  <c r="W15" i="38" s="1"/>
  <c r="X15" i="38" s="1"/>
  <c r="Y15" i="38" s="1"/>
  <c r="Z15" i="38" s="1"/>
  <c r="D199" i="38"/>
  <c r="D205" i="38"/>
  <c r="D197" i="38"/>
  <c r="D195" i="38"/>
  <c r="D194" i="38"/>
  <c r="D193" i="38"/>
  <c r="D192" i="38"/>
  <c r="D191" i="38"/>
  <c r="D190" i="38"/>
  <c r="D189" i="38"/>
  <c r="D187" i="38"/>
  <c r="D186" i="38"/>
  <c r="F166" i="38"/>
  <c r="G166" i="38" s="1"/>
  <c r="H166" i="38"/>
  <c r="P67" i="33"/>
  <c r="G172" i="41" s="1"/>
  <c r="H172" i="41" s="1"/>
  <c r="I172" i="41" s="1"/>
  <c r="J172" i="41" s="1"/>
  <c r="K172" i="41" s="1"/>
  <c r="L172" i="41" s="1"/>
  <c r="M172" i="41" s="1"/>
  <c r="N172" i="41" s="1"/>
  <c r="O172" i="41" s="1"/>
  <c r="P172" i="41" s="1"/>
  <c r="Q172" i="41" s="1"/>
  <c r="R172" i="41" s="1"/>
  <c r="S172" i="41" s="1"/>
  <c r="T172" i="41" s="1"/>
  <c r="U172" i="41" s="1"/>
  <c r="V172" i="41" s="1"/>
  <c r="W172" i="41" s="1"/>
  <c r="X172" i="41" s="1"/>
  <c r="Y172" i="41" s="1"/>
  <c r="Z172" i="41" s="1"/>
  <c r="O67" i="33"/>
  <c r="G172" i="40"/>
  <c r="H172" i="40" s="1"/>
  <c r="I172" i="40" s="1"/>
  <c r="J172" i="40" s="1"/>
  <c r="K172" i="40" s="1"/>
  <c r="L172" i="40" s="1"/>
  <c r="M172" i="40" s="1"/>
  <c r="N172" i="40" s="1"/>
  <c r="O172" i="40" s="1"/>
  <c r="P172" i="40" s="1"/>
  <c r="Q172" i="40" s="1"/>
  <c r="R172" i="40" s="1"/>
  <c r="S172" i="40" s="1"/>
  <c r="T172" i="40" s="1"/>
  <c r="U172" i="40" s="1"/>
  <c r="V172" i="40" s="1"/>
  <c r="W172" i="40" s="1"/>
  <c r="X172" i="40" s="1"/>
  <c r="Y172" i="40" s="1"/>
  <c r="Z172" i="40" s="1"/>
  <c r="N67" i="33"/>
  <c r="G172" i="38" s="1"/>
  <c r="H172" i="38" s="1"/>
  <c r="I172" i="38" s="1"/>
  <c r="J172" i="38" s="1"/>
  <c r="K172" i="38" s="1"/>
  <c r="L172" i="38" s="1"/>
  <c r="M172" i="38" s="1"/>
  <c r="N172" i="38" s="1"/>
  <c r="O172" i="38" s="1"/>
  <c r="P172" i="38" s="1"/>
  <c r="Q172" i="38" s="1"/>
  <c r="R172" i="38" s="1"/>
  <c r="S172" i="38" s="1"/>
  <c r="T172" i="38" s="1"/>
  <c r="U172" i="38" s="1"/>
  <c r="V172" i="38" s="1"/>
  <c r="W172" i="38" s="1"/>
  <c r="X172" i="38" s="1"/>
  <c r="Y172" i="38" s="1"/>
  <c r="Z172" i="38" s="1"/>
  <c r="H119" i="33"/>
  <c r="G119" i="33"/>
  <c r="F119" i="33"/>
  <c r="H117" i="33"/>
  <c r="G117" i="33"/>
  <c r="F117" i="33"/>
  <c r="P115" i="33"/>
  <c r="O115" i="33"/>
  <c r="N115" i="33"/>
  <c r="P113" i="33"/>
  <c r="O113" i="33"/>
  <c r="N113" i="33"/>
  <c r="P111" i="33"/>
  <c r="O111" i="33"/>
  <c r="N111" i="33"/>
  <c r="P110" i="33"/>
  <c r="O110" i="33"/>
  <c r="N110" i="33"/>
  <c r="P109" i="33"/>
  <c r="O109" i="33"/>
  <c r="N109" i="33"/>
  <c r="P108" i="33"/>
  <c r="O108" i="33"/>
  <c r="N108" i="33"/>
  <c r="P107" i="33"/>
  <c r="O107" i="33"/>
  <c r="N107" i="33"/>
  <c r="P106" i="33"/>
  <c r="O106" i="33"/>
  <c r="N106" i="33"/>
  <c r="P105" i="33"/>
  <c r="O105" i="33"/>
  <c r="N105" i="33"/>
  <c r="P104" i="33"/>
  <c r="O104" i="33"/>
  <c r="N104" i="33"/>
  <c r="H25" i="39"/>
  <c r="G25" i="39"/>
  <c r="F25" i="39"/>
  <c r="H24" i="39"/>
  <c r="G24" i="39"/>
  <c r="F24" i="39"/>
  <c r="G189" i="33"/>
  <c r="F189" i="33"/>
  <c r="G202" i="33"/>
  <c r="F202" i="33"/>
  <c r="G195" i="33"/>
  <c r="F195" i="33"/>
  <c r="F95" i="38"/>
  <c r="G95" i="38" s="1"/>
  <c r="H95" i="38" s="1"/>
  <c r="I95" i="38" s="1"/>
  <c r="J95" i="38" s="1"/>
  <c r="K95" i="38" s="1"/>
  <c r="L95" i="38" s="1"/>
  <c r="M95" i="38" s="1"/>
  <c r="M96" i="38" s="1"/>
  <c r="AP16" i="35"/>
  <c r="AP17" i="35"/>
  <c r="AP18" i="35"/>
  <c r="AP19" i="35" s="1"/>
  <c r="AP20" i="35" s="1"/>
  <c r="AP21" i="35" s="1"/>
  <c r="AP22" i="35" s="1"/>
  <c r="AP23" i="35" s="1"/>
  <c r="AP24" i="35" s="1"/>
  <c r="AP25" i="35" s="1"/>
  <c r="AP26" i="35" s="1"/>
  <c r="AP27" i="35" s="1"/>
  <c r="AP28" i="35" s="1"/>
  <c r="AP29" i="35" s="1"/>
  <c r="AP30" i="35" s="1"/>
  <c r="AP31" i="35" s="1"/>
  <c r="AP32" i="35" s="1"/>
  <c r="AP33" i="35" s="1"/>
  <c r="AP34" i="35" s="1"/>
  <c r="AP35" i="35" s="1"/>
  <c r="AP36" i="35" s="1"/>
  <c r="AP37" i="35" s="1"/>
  <c r="AP38" i="35" s="1"/>
  <c r="AP39" i="35" s="1"/>
  <c r="AP40" i="35" s="1"/>
  <c r="AP41" i="35" s="1"/>
  <c r="AP42" i="35" s="1"/>
  <c r="AP43" i="35" s="1"/>
  <c r="AP44" i="35" s="1"/>
  <c r="AP45" i="35" s="1"/>
  <c r="AT48" i="35"/>
  <c r="P92" i="33"/>
  <c r="O92" i="33"/>
  <c r="N92" i="33"/>
  <c r="P73" i="33"/>
  <c r="O73" i="33"/>
  <c r="N73" i="33"/>
  <c r="P72" i="33"/>
  <c r="O72" i="33"/>
  <c r="N72" i="33"/>
  <c r="P59" i="33"/>
  <c r="O59" i="33"/>
  <c r="N59" i="33"/>
  <c r="P134" i="33"/>
  <c r="O134" i="33"/>
  <c r="N134" i="33"/>
  <c r="G218" i="33"/>
  <c r="O28" i="33"/>
  <c r="F218" i="33"/>
  <c r="N28" i="33"/>
  <c r="H216" i="33"/>
  <c r="G216" i="33"/>
  <c r="F216" i="33"/>
  <c r="G212" i="33"/>
  <c r="F212" i="33"/>
  <c r="F217" i="33"/>
  <c r="F219" i="33" s="1"/>
  <c r="H208" i="33"/>
  <c r="G208" i="33"/>
  <c r="F208" i="33"/>
  <c r="O50" i="33"/>
  <c r="N50" i="33"/>
  <c r="H199" i="33"/>
  <c r="G199" i="33"/>
  <c r="F199" i="33"/>
  <c r="F186" i="33"/>
  <c r="G193" i="33"/>
  <c r="G205" i="33" s="1"/>
  <c r="O30" i="33" s="1"/>
  <c r="P20" i="33"/>
  <c r="O20" i="33"/>
  <c r="N20" i="33"/>
  <c r="P135" i="33"/>
  <c r="O135" i="33"/>
  <c r="N135" i="33"/>
  <c r="P74" i="33"/>
  <c r="G123" i="41"/>
  <c r="H123" i="41" s="1"/>
  <c r="I123" i="41" s="1"/>
  <c r="J123" i="41" s="1"/>
  <c r="K123" i="41" s="1"/>
  <c r="L123" i="41" s="1"/>
  <c r="M123" i="41" s="1"/>
  <c r="N123" i="41" s="1"/>
  <c r="O123" i="41" s="1"/>
  <c r="P123" i="41" s="1"/>
  <c r="Q123" i="41" s="1"/>
  <c r="R123" i="41" s="1"/>
  <c r="S123" i="41" s="1"/>
  <c r="T123" i="41" s="1"/>
  <c r="U123" i="41" s="1"/>
  <c r="V123" i="41" s="1"/>
  <c r="W123" i="41" s="1"/>
  <c r="X123" i="41" s="1"/>
  <c r="Y123" i="41" s="1"/>
  <c r="Z123" i="41" s="1"/>
  <c r="O74" i="33"/>
  <c r="G123" i="40" s="1"/>
  <c r="H123" i="40" s="1"/>
  <c r="I123" i="40" s="1"/>
  <c r="J123" i="40" s="1"/>
  <c r="K123" i="40" s="1"/>
  <c r="L123" i="40" s="1"/>
  <c r="M123" i="40" s="1"/>
  <c r="N123" i="40" s="1"/>
  <c r="O123" i="40" s="1"/>
  <c r="P123" i="40" s="1"/>
  <c r="Q123" i="40" s="1"/>
  <c r="R123" i="40" s="1"/>
  <c r="S123" i="40" s="1"/>
  <c r="T123" i="40" s="1"/>
  <c r="U123" i="40" s="1"/>
  <c r="V123" i="40" s="1"/>
  <c r="W123" i="40" s="1"/>
  <c r="X123" i="40" s="1"/>
  <c r="Y123" i="40" s="1"/>
  <c r="Z123" i="40" s="1"/>
  <c r="N74" i="33"/>
  <c r="G123" i="38"/>
  <c r="H123" i="38" s="1"/>
  <c r="I123" i="38" s="1"/>
  <c r="J123" i="38" s="1"/>
  <c r="K123" i="38" s="1"/>
  <c r="L123" i="38" s="1"/>
  <c r="M123" i="38" s="1"/>
  <c r="N123" i="38" s="1"/>
  <c r="O123" i="38" s="1"/>
  <c r="P123" i="38" s="1"/>
  <c r="Q123" i="38" s="1"/>
  <c r="R123" i="38" s="1"/>
  <c r="S123" i="38" s="1"/>
  <c r="T123" i="38" s="1"/>
  <c r="U123" i="38" s="1"/>
  <c r="V123" i="38" s="1"/>
  <c r="W123" i="38" s="1"/>
  <c r="X123" i="38" s="1"/>
  <c r="Y123" i="38" s="1"/>
  <c r="Z123" i="38" s="1"/>
  <c r="P60" i="33"/>
  <c r="O60" i="33"/>
  <c r="N60" i="33"/>
  <c r="H175" i="33"/>
  <c r="G175" i="33"/>
  <c r="F175" i="33"/>
  <c r="H112" i="33"/>
  <c r="H114" i="33" s="1"/>
  <c r="H115" i="33" s="1"/>
  <c r="E115" i="33" s="1"/>
  <c r="F114" i="33"/>
  <c r="F115" i="33"/>
  <c r="H106" i="33"/>
  <c r="H107" i="33" s="1"/>
  <c r="G106" i="33"/>
  <c r="G107" i="33" s="1"/>
  <c r="F106" i="33"/>
  <c r="H103" i="33"/>
  <c r="G103" i="33"/>
  <c r="G104" i="33"/>
  <c r="F103" i="33"/>
  <c r="AE48" i="35"/>
  <c r="O48" i="35"/>
  <c r="J2" i="32"/>
  <c r="J28" i="32" s="1"/>
  <c r="I2" i="32"/>
  <c r="I6" i="32" s="1"/>
  <c r="H2" i="32"/>
  <c r="H28" i="32" s="1"/>
  <c r="P138" i="33"/>
  <c r="O138" i="33"/>
  <c r="N138" i="33"/>
  <c r="P126" i="33"/>
  <c r="O126" i="33"/>
  <c r="N126" i="33"/>
  <c r="P52" i="33"/>
  <c r="O52" i="33"/>
  <c r="N52" i="33"/>
  <c r="H158" i="33"/>
  <c r="G158" i="33"/>
  <c r="F158" i="33"/>
  <c r="H140" i="33"/>
  <c r="G140" i="33"/>
  <c r="F140" i="33"/>
  <c r="H123" i="33"/>
  <c r="G123" i="33"/>
  <c r="F123" i="33"/>
  <c r="H60" i="33"/>
  <c r="G60" i="33"/>
  <c r="F60" i="33"/>
  <c r="H33" i="33"/>
  <c r="G33" i="33"/>
  <c r="F33" i="33"/>
  <c r="AA13" i="35"/>
  <c r="AA14" i="35" s="1"/>
  <c r="AA15" i="35" s="1"/>
  <c r="AA16" i="35" s="1"/>
  <c r="AA17" i="35" s="1"/>
  <c r="AA18" i="35" s="1"/>
  <c r="AA19" i="35" s="1"/>
  <c r="AA20" i="35" s="1"/>
  <c r="AA21" i="35" s="1"/>
  <c r="AA22" i="35" s="1"/>
  <c r="AA23" i="35" s="1"/>
  <c r="AA24" i="35" s="1"/>
  <c r="AA25" i="35" s="1"/>
  <c r="AA26" i="35" s="1"/>
  <c r="AA27" i="35" s="1"/>
  <c r="AA28" i="35" s="1"/>
  <c r="AA29" i="35" s="1"/>
  <c r="AA30" i="35" s="1"/>
  <c r="AA31" i="35" s="1"/>
  <c r="AA32" i="35" s="1"/>
  <c r="AA33" i="35" s="1"/>
  <c r="AA34" i="35" s="1"/>
  <c r="AA35" i="35" s="1"/>
  <c r="AA36" i="35" s="1"/>
  <c r="AA37" i="35" s="1"/>
  <c r="AA38" i="35" s="1"/>
  <c r="AA39" i="35" s="1"/>
  <c r="AA40" i="35" s="1"/>
  <c r="AA41" i="35" s="1"/>
  <c r="AA42" i="35" s="1"/>
  <c r="AA43" i="35" s="1"/>
  <c r="AA44" i="35" s="1"/>
  <c r="AA45" i="35" s="1"/>
  <c r="D6" i="35"/>
  <c r="D5" i="35"/>
  <c r="K13" i="35"/>
  <c r="K14" i="35"/>
  <c r="K15" i="35" s="1"/>
  <c r="K16" i="35" s="1"/>
  <c r="K17" i="35" s="1"/>
  <c r="K18" i="35" s="1"/>
  <c r="K19" i="35" s="1"/>
  <c r="K20" i="35" s="1"/>
  <c r="K21" i="35" s="1"/>
  <c r="K22" i="35" s="1"/>
  <c r="K23" i="35" s="1"/>
  <c r="K24" i="35" s="1"/>
  <c r="K25" i="35" s="1"/>
  <c r="K26" i="35" s="1"/>
  <c r="K27" i="35" s="1"/>
  <c r="K28" i="35" s="1"/>
  <c r="K29" i="35" s="1"/>
  <c r="K30" i="35" s="1"/>
  <c r="K31" i="35" s="1"/>
  <c r="K32" i="35" s="1"/>
  <c r="K33" i="35" s="1"/>
  <c r="K34" i="35" s="1"/>
  <c r="K35" i="35" s="1"/>
  <c r="K36" i="35" s="1"/>
  <c r="K37" i="35" s="1"/>
  <c r="K38" i="35" s="1"/>
  <c r="K39" i="35" s="1"/>
  <c r="K40" i="35" s="1"/>
  <c r="K41" i="35" s="1"/>
  <c r="K42" i="35" s="1"/>
  <c r="K43" i="35" s="1"/>
  <c r="K44" i="35" s="1"/>
  <c r="K45" i="35" s="1"/>
  <c r="E22" i="33"/>
  <c r="P145" i="33"/>
  <c r="O145" i="33"/>
  <c r="N145" i="33"/>
  <c r="H170" i="33"/>
  <c r="G170" i="33"/>
  <c r="F170" i="33"/>
  <c r="H166" i="33"/>
  <c r="G166" i="33"/>
  <c r="F166" i="33"/>
  <c r="G154" i="33"/>
  <c r="O26" i="33"/>
  <c r="H152" i="33"/>
  <c r="G152" i="33"/>
  <c r="G148" i="33"/>
  <c r="H144" i="33"/>
  <c r="G144" i="33"/>
  <c r="G153" i="33" s="1"/>
  <c r="G155" i="33" s="1"/>
  <c r="H135" i="33"/>
  <c r="G135" i="33"/>
  <c r="P185" i="33"/>
  <c r="J21" i="32"/>
  <c r="O185" i="33"/>
  <c r="N185" i="33"/>
  <c r="H21" i="32" s="1"/>
  <c r="X56" i="32" s="1"/>
  <c r="H131" i="33"/>
  <c r="G131" i="33"/>
  <c r="F131" i="33"/>
  <c r="H96" i="33"/>
  <c r="H95" i="33"/>
  <c r="H94" i="48"/>
  <c r="G96" i="33"/>
  <c r="G95" i="33" s="1"/>
  <c r="G94" i="48" s="1"/>
  <c r="F96" i="33"/>
  <c r="H94" i="33"/>
  <c r="G94" i="33"/>
  <c r="F94" i="33"/>
  <c r="P136" i="33"/>
  <c r="O136" i="33"/>
  <c r="N136" i="33"/>
  <c r="P133" i="33"/>
  <c r="O133" i="33"/>
  <c r="N133" i="33"/>
  <c r="P132" i="33"/>
  <c r="O132" i="33"/>
  <c r="N132" i="33"/>
  <c r="P131" i="33"/>
  <c r="O131" i="33"/>
  <c r="N131" i="33"/>
  <c r="P130" i="33"/>
  <c r="O130" i="33"/>
  <c r="N130" i="33"/>
  <c r="P129" i="33"/>
  <c r="O129" i="33"/>
  <c r="N129" i="33"/>
  <c r="P128" i="33"/>
  <c r="O128" i="33"/>
  <c r="N128" i="33"/>
  <c r="H74" i="33"/>
  <c r="H47" i="33"/>
  <c r="H48" i="33" s="1"/>
  <c r="G74" i="33"/>
  <c r="G47" i="33" s="1"/>
  <c r="G48" i="33" s="1"/>
  <c r="F74" i="33"/>
  <c r="H70" i="33"/>
  <c r="H43" i="33"/>
  <c r="H44" i="33"/>
  <c r="G70" i="33"/>
  <c r="F70" i="33"/>
  <c r="P102" i="33"/>
  <c r="O102" i="33"/>
  <c r="N102" i="33"/>
  <c r="H66" i="33"/>
  <c r="H39" i="33"/>
  <c r="H40" i="33"/>
  <c r="G66" i="33"/>
  <c r="G39" i="33" s="1"/>
  <c r="G40" i="33" s="1"/>
  <c r="F66" i="33"/>
  <c r="P101" i="33"/>
  <c r="O101" i="33"/>
  <c r="N101" i="33"/>
  <c r="F62" i="33"/>
  <c r="P91" i="33"/>
  <c r="O91" i="33"/>
  <c r="N91" i="33"/>
  <c r="P90" i="33"/>
  <c r="O90" i="33"/>
  <c r="N90" i="33"/>
  <c r="P71" i="33"/>
  <c r="O71" i="33"/>
  <c r="N71" i="33"/>
  <c r="P70" i="33"/>
  <c r="O70" i="33"/>
  <c r="N70" i="33"/>
  <c r="P69" i="33"/>
  <c r="O69" i="33"/>
  <c r="N69" i="33"/>
  <c r="O68" i="33"/>
  <c r="P66" i="33"/>
  <c r="O66" i="33"/>
  <c r="N66" i="33"/>
  <c r="P65" i="33"/>
  <c r="O65" i="33"/>
  <c r="N65" i="33"/>
  <c r="P64" i="33"/>
  <c r="G37" i="41"/>
  <c r="H37" i="41" s="1"/>
  <c r="I37" i="41" s="1"/>
  <c r="J37" i="41" s="1"/>
  <c r="K37" i="41" s="1"/>
  <c r="L37" i="41" s="1"/>
  <c r="M37" i="41" s="1"/>
  <c r="N37" i="41" s="1"/>
  <c r="O37" i="41" s="1"/>
  <c r="P37" i="41" s="1"/>
  <c r="Q37" i="41" s="1"/>
  <c r="R37" i="41" s="1"/>
  <c r="S37" i="41" s="1"/>
  <c r="T37" i="41" s="1"/>
  <c r="U37" i="41" s="1"/>
  <c r="V37" i="41" s="1"/>
  <c r="W37" i="41" s="1"/>
  <c r="X37" i="41" s="1"/>
  <c r="Y37" i="41" s="1"/>
  <c r="Z37" i="41" s="1"/>
  <c r="O64" i="33"/>
  <c r="G37" i="40"/>
  <c r="H37" i="40" s="1"/>
  <c r="I37" i="40" s="1"/>
  <c r="J37" i="40" s="1"/>
  <c r="K37" i="40" s="1"/>
  <c r="L37" i="40" s="1"/>
  <c r="M37" i="40" s="1"/>
  <c r="N37" i="40" s="1"/>
  <c r="O37" i="40" s="1"/>
  <c r="P37" i="40" s="1"/>
  <c r="Q37" i="40" s="1"/>
  <c r="R37" i="40" s="1"/>
  <c r="S37" i="40" s="1"/>
  <c r="T37" i="40" s="1"/>
  <c r="U37" i="40" s="1"/>
  <c r="V37" i="40" s="1"/>
  <c r="W37" i="40" s="1"/>
  <c r="X37" i="40" s="1"/>
  <c r="Y37" i="40" s="1"/>
  <c r="Z37" i="40" s="1"/>
  <c r="N64" i="33"/>
  <c r="G37" i="38" s="1"/>
  <c r="H37" i="38" s="1"/>
  <c r="I37" i="38" s="1"/>
  <c r="J37" i="38" s="1"/>
  <c r="K37" i="38" s="1"/>
  <c r="L37" i="38" s="1"/>
  <c r="M37" i="38" s="1"/>
  <c r="N37" i="38" s="1"/>
  <c r="O37" i="38" s="1"/>
  <c r="P37" i="38" s="1"/>
  <c r="Q37" i="38" s="1"/>
  <c r="R37" i="38" s="1"/>
  <c r="S37" i="38" s="1"/>
  <c r="T37" i="38" s="1"/>
  <c r="U37" i="38" s="1"/>
  <c r="V37" i="38" s="1"/>
  <c r="W37" i="38" s="1"/>
  <c r="X37" i="38" s="1"/>
  <c r="Y37" i="38" s="1"/>
  <c r="Z37" i="38" s="1"/>
  <c r="P63" i="33"/>
  <c r="G14" i="41" s="1"/>
  <c r="H14" i="41" s="1"/>
  <c r="I14" i="41" s="1"/>
  <c r="J14" i="41" s="1"/>
  <c r="K14" i="41" s="1"/>
  <c r="L14" i="41" s="1"/>
  <c r="M14" i="41" s="1"/>
  <c r="N14" i="41" s="1"/>
  <c r="O14" i="41" s="1"/>
  <c r="P14" i="41" s="1"/>
  <c r="Q14" i="41" s="1"/>
  <c r="R14" i="41" s="1"/>
  <c r="S14" i="41" s="1"/>
  <c r="T14" i="41" s="1"/>
  <c r="U14" i="41" s="1"/>
  <c r="V14" i="41" s="1"/>
  <c r="W14" i="41" s="1"/>
  <c r="X14" i="41" s="1"/>
  <c r="Y14" i="41" s="1"/>
  <c r="Z14" i="41" s="1"/>
  <c r="O63" i="33"/>
  <c r="G14" i="40"/>
  <c r="H14" i="40"/>
  <c r="I14" i="40" s="1"/>
  <c r="J14" i="40" s="1"/>
  <c r="K14" i="40" s="1"/>
  <c r="L14" i="40" s="1"/>
  <c r="M14" i="40" s="1"/>
  <c r="N14" i="40" s="1"/>
  <c r="O14" i="40" s="1"/>
  <c r="P14" i="40" s="1"/>
  <c r="Q14" i="40" s="1"/>
  <c r="R14" i="40" s="1"/>
  <c r="S14" i="40" s="1"/>
  <c r="T14" i="40" s="1"/>
  <c r="U14" i="40" s="1"/>
  <c r="V14" i="40" s="1"/>
  <c r="W14" i="40" s="1"/>
  <c r="X14" i="40" s="1"/>
  <c r="Y14" i="40" s="1"/>
  <c r="Z14" i="40" s="1"/>
  <c r="N63" i="33"/>
  <c r="G14" i="38"/>
  <c r="H14" i="38" s="1"/>
  <c r="I14" i="38" s="1"/>
  <c r="J14" i="38" s="1"/>
  <c r="K14" i="38" s="1"/>
  <c r="L14" i="38" s="1"/>
  <c r="M14" i="38" s="1"/>
  <c r="N14" i="38" s="1"/>
  <c r="O14" i="38" s="1"/>
  <c r="P14" i="38" s="1"/>
  <c r="Q14" i="38" s="1"/>
  <c r="R14" i="38" s="1"/>
  <c r="S14" i="38" s="1"/>
  <c r="T14" i="38" s="1"/>
  <c r="U14" i="38" s="1"/>
  <c r="V14" i="38" s="1"/>
  <c r="W14" i="38" s="1"/>
  <c r="X14" i="38" s="1"/>
  <c r="Y14" i="38" s="1"/>
  <c r="Z14" i="38" s="1"/>
  <c r="P58" i="33"/>
  <c r="O58" i="33"/>
  <c r="N58" i="33"/>
  <c r="P57" i="33"/>
  <c r="O57" i="33"/>
  <c r="N57" i="33"/>
  <c r="P56" i="33"/>
  <c r="O56" i="33"/>
  <c r="N56" i="33"/>
  <c r="P55" i="33"/>
  <c r="O55" i="33"/>
  <c r="N55" i="33"/>
  <c r="P54" i="33"/>
  <c r="O54" i="33"/>
  <c r="N54" i="33"/>
  <c r="H29" i="33"/>
  <c r="G29" i="33"/>
  <c r="F29" i="33"/>
  <c r="F35" i="33"/>
  <c r="F289" i="40"/>
  <c r="F290" i="40"/>
  <c r="F334" i="40" s="1"/>
  <c r="H104" i="33"/>
  <c r="G63" i="33"/>
  <c r="G75" i="33"/>
  <c r="F36" i="33"/>
  <c r="G67" i="33"/>
  <c r="F63" i="33"/>
  <c r="AJ13" i="35"/>
  <c r="AJ14" i="35" s="1"/>
  <c r="AJ15" i="35" s="1"/>
  <c r="AJ16" i="35" s="1"/>
  <c r="AJ17" i="35" s="1"/>
  <c r="AJ18" i="35" s="1"/>
  <c r="AJ19" i="35" s="1"/>
  <c r="AJ20" i="35" s="1"/>
  <c r="AJ21" i="35" s="1"/>
  <c r="AJ22" i="35" s="1"/>
  <c r="AJ23" i="35" s="1"/>
  <c r="AJ24" i="35" s="1"/>
  <c r="AJ25" i="35" s="1"/>
  <c r="AJ26" i="35" s="1"/>
  <c r="AJ27" i="35" s="1"/>
  <c r="AJ28" i="35" s="1"/>
  <c r="AJ29" i="35" s="1"/>
  <c r="AJ30" i="35" s="1"/>
  <c r="AJ31" i="35" s="1"/>
  <c r="AJ32" i="35" s="1"/>
  <c r="AJ33" i="35" s="1"/>
  <c r="AJ34" i="35" s="1"/>
  <c r="AJ35" i="35" s="1"/>
  <c r="AJ36" i="35" s="1"/>
  <c r="AJ37" i="35" s="1"/>
  <c r="AJ38" i="35" s="1"/>
  <c r="AJ39" i="35" s="1"/>
  <c r="AJ40" i="35" s="1"/>
  <c r="AJ41" i="35" s="1"/>
  <c r="AJ42" i="35" s="1"/>
  <c r="AJ43" i="35" s="1"/>
  <c r="AJ44" i="35" s="1"/>
  <c r="AJ45" i="35" s="1"/>
  <c r="U13" i="35"/>
  <c r="U14" i="35" s="1"/>
  <c r="U15" i="35"/>
  <c r="U16" i="35" s="1"/>
  <c r="U17" i="35" s="1"/>
  <c r="U18" i="35" s="1"/>
  <c r="U19" i="35" s="1"/>
  <c r="U20" i="35" s="1"/>
  <c r="U21" i="35" s="1"/>
  <c r="U22" i="35" s="1"/>
  <c r="U23" i="35" s="1"/>
  <c r="U24" i="35" s="1"/>
  <c r="U25" i="35" s="1"/>
  <c r="U26" i="35" s="1"/>
  <c r="U27" i="35" s="1"/>
  <c r="U28" i="35" s="1"/>
  <c r="U29" i="35" s="1"/>
  <c r="U30" i="35" s="1"/>
  <c r="U31" i="35" s="1"/>
  <c r="U32" i="35" s="1"/>
  <c r="U33" i="35" s="1"/>
  <c r="U34" i="35" s="1"/>
  <c r="U35" i="35" s="1"/>
  <c r="U36" i="35" s="1"/>
  <c r="U37" i="35" s="1"/>
  <c r="U38" i="35" s="1"/>
  <c r="U39" i="35" s="1"/>
  <c r="U40" i="35" s="1"/>
  <c r="U41" i="35" s="1"/>
  <c r="U42" i="35" s="1"/>
  <c r="U43" i="35" s="1"/>
  <c r="U44" i="35" s="1"/>
  <c r="U45" i="35" s="1"/>
  <c r="G28" i="33"/>
  <c r="F257" i="41"/>
  <c r="F265" i="41" s="1"/>
  <c r="H28" i="33"/>
  <c r="G12" i="32"/>
  <c r="G11" i="32"/>
  <c r="F31" i="41"/>
  <c r="F32" i="41" s="1"/>
  <c r="K25" i="43"/>
  <c r="H34" i="31"/>
  <c r="G76" i="31"/>
  <c r="F76" i="28"/>
  <c r="G76" i="28" s="1"/>
  <c r="H76" i="28" s="1"/>
  <c r="I76" i="28" s="1"/>
  <c r="J76" i="28" s="1"/>
  <c r="K76" i="28" s="1"/>
  <c r="L76" i="28" s="1"/>
  <c r="M76" i="28" s="1"/>
  <c r="N76" i="28" s="1"/>
  <c r="F6" i="28"/>
  <c r="G6" i="28"/>
  <c r="H6" i="28" s="1"/>
  <c r="I6" i="28" s="1"/>
  <c r="J6" i="28" s="1"/>
  <c r="K6" i="28" s="1"/>
  <c r="L6" i="28" s="1"/>
  <c r="M6" i="28" s="1"/>
  <c r="N6" i="28" s="1"/>
  <c r="D344" i="38"/>
  <c r="K26" i="43"/>
  <c r="AT23" i="43"/>
  <c r="AX11" i="43"/>
  <c r="AX12" i="43"/>
  <c r="AX13" i="43"/>
  <c r="AX14" i="43"/>
  <c r="AX15" i="43"/>
  <c r="AX24" i="43" s="1"/>
  <c r="AX16" i="43"/>
  <c r="AX17" i="43"/>
  <c r="AX18" i="43"/>
  <c r="AX19" i="43"/>
  <c r="AX20" i="43"/>
  <c r="AX21" i="43"/>
  <c r="AS11" i="43"/>
  <c r="AS25" i="43" s="1"/>
  <c r="AP44" i="43" s="1"/>
  <c r="G93" i="33" s="1"/>
  <c r="AS13" i="43"/>
  <c r="AS14" i="43"/>
  <c r="AS15" i="43"/>
  <c r="AS16" i="43"/>
  <c r="AS17" i="43"/>
  <c r="AS18" i="43"/>
  <c r="AS19" i="43"/>
  <c r="AS20" i="43"/>
  <c r="AS24" i="43" s="1"/>
  <c r="AP43" i="43" s="1"/>
  <c r="F93" i="33" s="1"/>
  <c r="F100" i="33" s="1"/>
  <c r="N48" i="33" s="1"/>
  <c r="AS22" i="43"/>
  <c r="AV11" i="43"/>
  <c r="AV12" i="43"/>
  <c r="AV13" i="43"/>
  <c r="AV14" i="43"/>
  <c r="AV24" i="43" s="1"/>
  <c r="AV15" i="43"/>
  <c r="AV16" i="43"/>
  <c r="AV17" i="43"/>
  <c r="AV18" i="43"/>
  <c r="AV19" i="43"/>
  <c r="AV23" i="43" s="1"/>
  <c r="AV20" i="43"/>
  <c r="AV21" i="43"/>
  <c r="AV22" i="43"/>
  <c r="AV26" i="43"/>
  <c r="H210" i="33" s="1"/>
  <c r="D344" i="41"/>
  <c r="W53" i="32"/>
  <c r="I30" i="41"/>
  <c r="J30" i="41" s="1"/>
  <c r="K30" i="41" s="1"/>
  <c r="L30" i="41" s="1"/>
  <c r="H30" i="40"/>
  <c r="I30" i="40" s="1"/>
  <c r="J30" i="40" s="1"/>
  <c r="K30" i="40" s="1"/>
  <c r="O27" i="33"/>
  <c r="F133" i="33"/>
  <c r="N4" i="43"/>
  <c r="AX26" i="43"/>
  <c r="AX22" i="43"/>
  <c r="AU26" i="43"/>
  <c r="H160" i="33" s="1"/>
  <c r="AU24" i="43"/>
  <c r="F160" i="33" s="1"/>
  <c r="D5" i="46"/>
  <c r="O1" i="43"/>
  <c r="AV25" i="43"/>
  <c r="H218" i="33"/>
  <c r="AN38" i="43"/>
  <c r="F167" i="41"/>
  <c r="F168" i="41" s="1"/>
  <c r="F69" i="48"/>
  <c r="F8" i="48"/>
  <c r="H9" i="35"/>
  <c r="F28" i="33"/>
  <c r="AT26" i="43"/>
  <c r="H146" i="33"/>
  <c r="F75" i="33"/>
  <c r="F65" i="48" s="1"/>
  <c r="F47" i="33"/>
  <c r="F48" i="33"/>
  <c r="F72" i="48" s="1"/>
  <c r="F43" i="33"/>
  <c r="F44" i="33" s="1"/>
  <c r="F71" i="48" s="1"/>
  <c r="F71" i="33"/>
  <c r="F64" i="48" s="1"/>
  <c r="P72" i="48"/>
  <c r="H35" i="33"/>
  <c r="H36" i="33"/>
  <c r="H63" i="33"/>
  <c r="H67" i="33"/>
  <c r="H71" i="33"/>
  <c r="N36" i="33"/>
  <c r="H13" i="31" s="1"/>
  <c r="H99" i="39" s="1"/>
  <c r="O36" i="33"/>
  <c r="I13" i="31" s="1"/>
  <c r="P36" i="33"/>
  <c r="J13" i="31" s="1"/>
  <c r="J6" i="45"/>
  <c r="F127" i="28" s="1"/>
  <c r="F62" i="48"/>
  <c r="G75" i="38"/>
  <c r="H74" i="38"/>
  <c r="H75" i="38" s="1"/>
  <c r="G52" i="33"/>
  <c r="H53" i="33"/>
  <c r="H52" i="33" s="1"/>
  <c r="G371" i="38"/>
  <c r="H359" i="38"/>
  <c r="AR25" i="43"/>
  <c r="G125" i="33" s="1"/>
  <c r="G127" i="33" s="1"/>
  <c r="G136" i="33" s="1"/>
  <c r="G217" i="33"/>
  <c r="D56" i="48"/>
  <c r="F193" i="33"/>
  <c r="F205" i="33" s="1"/>
  <c r="F338" i="41"/>
  <c r="G338" i="41" s="1"/>
  <c r="F328" i="41"/>
  <c r="G294" i="41"/>
  <c r="F323" i="41"/>
  <c r="G36" i="48"/>
  <c r="G37" i="48" s="1"/>
  <c r="G162" i="33"/>
  <c r="G171" i="33" s="1"/>
  <c r="G173" i="33" s="1"/>
  <c r="H6" i="45"/>
  <c r="J31" i="45"/>
  <c r="H28" i="31"/>
  <c r="J16" i="45"/>
  <c r="F125" i="28" s="1"/>
  <c r="J28" i="31"/>
  <c r="AA20" i="43"/>
  <c r="AQ20" i="43"/>
  <c r="AW20" i="43"/>
  <c r="AA12" i="43"/>
  <c r="AW12" i="43"/>
  <c r="J411" i="38"/>
  <c r="K399" i="38"/>
  <c r="G294" i="40"/>
  <c r="G317" i="40" s="1"/>
  <c r="F317" i="40"/>
  <c r="F328" i="40"/>
  <c r="F323" i="40"/>
  <c r="F75" i="41"/>
  <c r="F76" i="41" s="1"/>
  <c r="F87" i="41" s="1"/>
  <c r="G74" i="41"/>
  <c r="G75" i="41" s="1"/>
  <c r="F7" i="48"/>
  <c r="C9" i="35"/>
  <c r="B11" i="35" s="1"/>
  <c r="J9" i="32"/>
  <c r="J399" i="40"/>
  <c r="I411" i="40"/>
  <c r="E8" i="46"/>
  <c r="BA20" i="43" s="1"/>
  <c r="G8" i="48"/>
  <c r="X9" i="35"/>
  <c r="G27" i="46"/>
  <c r="G28" i="46"/>
  <c r="G29" i="46" s="1"/>
  <c r="G30" i="46" s="1"/>
  <c r="G31" i="46" s="1"/>
  <c r="G32" i="46" s="1"/>
  <c r="G33" i="46" s="1"/>
  <c r="E35" i="46"/>
  <c r="E21" i="46" s="1"/>
  <c r="E22" i="46" s="1"/>
  <c r="Z10" i="43"/>
  <c r="M10" i="43" s="1"/>
  <c r="AW10" i="43"/>
  <c r="AA21" i="43"/>
  <c r="AQ21" i="43" s="1"/>
  <c r="AC26" i="43"/>
  <c r="AS21" i="43"/>
  <c r="Y13" i="35"/>
  <c r="I21" i="32"/>
  <c r="I9" i="32"/>
  <c r="AC1" i="43"/>
  <c r="AB4" i="43"/>
  <c r="AR4" i="43" s="1"/>
  <c r="G7" i="48"/>
  <c r="S9" i="35"/>
  <c r="R11" i="35" s="1"/>
  <c r="Z18" i="43"/>
  <c r="AW18" i="43"/>
  <c r="AA18" i="43"/>
  <c r="AQ18" i="43"/>
  <c r="AA9" i="43"/>
  <c r="AQ9" i="43"/>
  <c r="AW9" i="43"/>
  <c r="AP14" i="43"/>
  <c r="M14" i="43"/>
  <c r="Z7" i="43"/>
  <c r="G159" i="39"/>
  <c r="T23" i="32"/>
  <c r="T93" i="48" s="1"/>
  <c r="T72" i="48"/>
  <c r="Z56" i="32"/>
  <c r="AA17" i="43"/>
  <c r="AW17" i="43"/>
  <c r="AG24" i="43"/>
  <c r="AA8" i="43"/>
  <c r="AW8" i="43"/>
  <c r="AW7" i="43"/>
  <c r="AA7" i="43"/>
  <c r="AQ7" i="43"/>
  <c r="Z20" i="43"/>
  <c r="F37" i="43"/>
  <c r="Z19" i="43"/>
  <c r="P3" i="31"/>
  <c r="F150" i="33"/>
  <c r="F152" i="33" s="1"/>
  <c r="AT24" i="43"/>
  <c r="H8" i="48"/>
  <c r="AM9" i="35"/>
  <c r="I55" i="45"/>
  <c r="I56" i="45" s="1"/>
  <c r="I64" i="45" s="1"/>
  <c r="F51" i="45"/>
  <c r="F52" i="45"/>
  <c r="F53" i="45"/>
  <c r="F56" i="45" s="1"/>
  <c r="G51" i="45"/>
  <c r="H51" i="45"/>
  <c r="H52" i="45"/>
  <c r="H53" i="45"/>
  <c r="I51" i="45"/>
  <c r="E52" i="45"/>
  <c r="E55" i="45" s="1"/>
  <c r="J55" i="45" s="1"/>
  <c r="E51" i="45"/>
  <c r="D10" i="46"/>
  <c r="D9" i="46"/>
  <c r="D8" i="46"/>
  <c r="G52" i="45"/>
  <c r="G53" i="45"/>
  <c r="G56" i="45" s="1"/>
  <c r="F75" i="38"/>
  <c r="F76" i="38" s="1"/>
  <c r="AA19" i="43"/>
  <c r="AQ19" i="43"/>
  <c r="AR26" i="43"/>
  <c r="H125" i="33"/>
  <c r="H127" i="33" s="1"/>
  <c r="H136" i="33" s="1"/>
  <c r="AG26" i="43"/>
  <c r="Z6" i="43"/>
  <c r="AP6" i="43" s="1"/>
  <c r="AA6" i="43"/>
  <c r="G156" i="39"/>
  <c r="T73" i="48"/>
  <c r="Z57" i="32"/>
  <c r="T24" i="32"/>
  <c r="H411" i="40"/>
  <c r="H7" i="48"/>
  <c r="AH9" i="35"/>
  <c r="AG11" i="35" s="1"/>
  <c r="AG12" i="35" s="1"/>
  <c r="AG13" i="35" s="1"/>
  <c r="AH26" i="43"/>
  <c r="Z22" i="43"/>
  <c r="AR24" i="43"/>
  <c r="F125" i="33" s="1"/>
  <c r="F137" i="33" s="1"/>
  <c r="AG23" i="43"/>
  <c r="AA14" i="43"/>
  <c r="AW14" i="43"/>
  <c r="AG25" i="43"/>
  <c r="Z11" i="43"/>
  <c r="AW11" i="43"/>
  <c r="AA11" i="43"/>
  <c r="I28" i="31"/>
  <c r="Z15" i="43"/>
  <c r="G171" i="39"/>
  <c r="G113" i="39"/>
  <c r="G142" i="39"/>
  <c r="AA10" i="43"/>
  <c r="AQ10" i="43" s="1"/>
  <c r="Z21" i="43"/>
  <c r="AA15" i="43"/>
  <c r="AQ15" i="43"/>
  <c r="Z9" i="43"/>
  <c r="Z8" i="43"/>
  <c r="Z13" i="43"/>
  <c r="Z12" i="43"/>
  <c r="AP12" i="43" s="1"/>
  <c r="Z17" i="43"/>
  <c r="AA22" i="43"/>
  <c r="Z16" i="43"/>
  <c r="G166" i="39"/>
  <c r="G137" i="39"/>
  <c r="G108" i="39"/>
  <c r="G53" i="48"/>
  <c r="G139" i="39"/>
  <c r="Z33" i="31"/>
  <c r="AB4" i="31"/>
  <c r="AB22" i="31" s="1"/>
  <c r="AC3" i="31"/>
  <c r="H27" i="31"/>
  <c r="AA4" i="31"/>
  <c r="AA22" i="31" s="1"/>
  <c r="AW78" i="31"/>
  <c r="AW48" i="31"/>
  <c r="AW26" i="31"/>
  <c r="AW33" i="31"/>
  <c r="AW66" i="31"/>
  <c r="AW73" i="31"/>
  <c r="I27" i="31"/>
  <c r="AU26" i="31"/>
  <c r="AU33" i="31"/>
  <c r="AX4" i="31"/>
  <c r="AX22" i="31" s="1"/>
  <c r="AY3" i="31"/>
  <c r="AV48" i="31"/>
  <c r="F142" i="33"/>
  <c r="F154" i="33" s="1"/>
  <c r="F33" i="48"/>
  <c r="E33" i="48" s="1"/>
  <c r="F135" i="33"/>
  <c r="F172" i="33"/>
  <c r="AS26" i="43"/>
  <c r="AP45" i="43" s="1"/>
  <c r="H93" i="33" s="1"/>
  <c r="G55" i="45"/>
  <c r="P4" i="31"/>
  <c r="P22" i="31" s="1"/>
  <c r="P73" i="31" s="1"/>
  <c r="Q3" i="31"/>
  <c r="AE56" i="32"/>
  <c r="H371" i="38"/>
  <c r="I359" i="38"/>
  <c r="AD3" i="31"/>
  <c r="AC4" i="31"/>
  <c r="AC22" i="31" s="1"/>
  <c r="AC26" i="31" s="1"/>
  <c r="AQ11" i="43"/>
  <c r="J52" i="45"/>
  <c r="AW26" i="43"/>
  <c r="AP7" i="43"/>
  <c r="AI7" i="43"/>
  <c r="Y14" i="35"/>
  <c r="G219" i="33"/>
  <c r="F9" i="48"/>
  <c r="F167" i="38"/>
  <c r="F168" i="38" s="1"/>
  <c r="G167" i="38"/>
  <c r="AP13" i="43"/>
  <c r="M13" i="43"/>
  <c r="M12" i="43"/>
  <c r="AI12" i="43"/>
  <c r="Z24" i="43"/>
  <c r="AP8" i="43"/>
  <c r="M22" i="43"/>
  <c r="AP22" i="43"/>
  <c r="AI22" i="43"/>
  <c r="AQ6" i="43"/>
  <c r="AW24" i="43"/>
  <c r="AP10" i="43"/>
  <c r="AI10" i="43"/>
  <c r="K411" i="38"/>
  <c r="L399" i="38"/>
  <c r="L411" i="38" s="1"/>
  <c r="AP15" i="43"/>
  <c r="AI15" i="43"/>
  <c r="F127" i="33"/>
  <c r="F136" i="33" s="1"/>
  <c r="E136" i="33" s="1"/>
  <c r="AP18" i="43"/>
  <c r="AI18" i="43"/>
  <c r="AP16" i="43"/>
  <c r="Z25" i="43"/>
  <c r="AP11" i="43"/>
  <c r="AO11" i="43" s="1"/>
  <c r="AI11" i="43"/>
  <c r="Z23" i="43"/>
  <c r="AI6" i="43"/>
  <c r="H55" i="45"/>
  <c r="AQ8" i="43"/>
  <c r="E10" i="46"/>
  <c r="F22" i="46"/>
  <c r="E5" i="46"/>
  <c r="G28" i="31"/>
  <c r="E218" i="33"/>
  <c r="P28" i="33"/>
  <c r="M28" i="33"/>
  <c r="AP9" i="43"/>
  <c r="AI9" i="43"/>
  <c r="F55" i="45"/>
  <c r="AD1" i="43"/>
  <c r="AC4" i="43"/>
  <c r="AS4" i="43" s="1"/>
  <c r="H294" i="41"/>
  <c r="H51" i="48"/>
  <c r="E51" i="48" s="1"/>
  <c r="H148" i="33"/>
  <c r="H153" i="33" s="1"/>
  <c r="H155" i="33" s="1"/>
  <c r="H154" i="33"/>
  <c r="P26" i="33"/>
  <c r="AP19" i="43"/>
  <c r="M19" i="43"/>
  <c r="AI19" i="43"/>
  <c r="AZ3" i="31"/>
  <c r="AY4" i="31"/>
  <c r="AY22" i="31" s="1"/>
  <c r="AY48" i="31" s="1"/>
  <c r="H32" i="48"/>
  <c r="H34" i="48" s="1"/>
  <c r="H137" i="33"/>
  <c r="H138" i="33" s="1"/>
  <c r="AP20" i="43"/>
  <c r="AM20" i="43" s="1"/>
  <c r="AI20" i="43"/>
  <c r="R59" i="48"/>
  <c r="F287" i="40"/>
  <c r="F331" i="40" s="1"/>
  <c r="K399" i="40"/>
  <c r="K411" i="40" s="1"/>
  <c r="J411" i="40"/>
  <c r="G137" i="33"/>
  <c r="G32" i="48"/>
  <c r="G34" i="48" s="1"/>
  <c r="G328" i="40"/>
  <c r="G323" i="40"/>
  <c r="H294" i="40"/>
  <c r="I294" i="40" s="1"/>
  <c r="I317" i="40" s="1"/>
  <c r="N30" i="33"/>
  <c r="AP17" i="43"/>
  <c r="AI17" i="43"/>
  <c r="AP21" i="43"/>
  <c r="AI21" i="43"/>
  <c r="AQ14" i="43"/>
  <c r="AM14" i="43" s="1"/>
  <c r="AO14" i="43"/>
  <c r="AI14" i="43"/>
  <c r="T59" i="48"/>
  <c r="F50" i="48"/>
  <c r="AM11" i="43"/>
  <c r="E137" i="33"/>
  <c r="N24" i="33"/>
  <c r="M399" i="38"/>
  <c r="L399" i="40"/>
  <c r="O24" i="33"/>
  <c r="F38" i="43"/>
  <c r="O34" i="33"/>
  <c r="I11" i="31" s="1"/>
  <c r="I35" i="31" s="1"/>
  <c r="AJ35" i="31" s="1"/>
  <c r="AJ44" i="31" s="1"/>
  <c r="AM9" i="43"/>
  <c r="AO9" i="43"/>
  <c r="AQ24" i="43"/>
  <c r="AM7" i="43"/>
  <c r="AO7" i="43"/>
  <c r="AD4" i="43"/>
  <c r="AT4" i="43" s="1"/>
  <c r="AE1" i="43"/>
  <c r="AP26" i="43"/>
  <c r="AO6" i="43"/>
  <c r="AM6" i="43"/>
  <c r="AO15" i="43"/>
  <c r="AM15" i="43"/>
  <c r="AO8" i="43"/>
  <c r="AM8" i="43"/>
  <c r="AE3" i="31"/>
  <c r="AD4" i="31"/>
  <c r="AD22" i="31" s="1"/>
  <c r="I371" i="38"/>
  <c r="J359" i="38"/>
  <c r="K359" i="38" s="1"/>
  <c r="K371" i="38" s="1"/>
  <c r="AM19" i="43"/>
  <c r="AO19" i="43"/>
  <c r="AO18" i="43"/>
  <c r="AM18" i="43"/>
  <c r="G138" i="33"/>
  <c r="Y15" i="35"/>
  <c r="AM21" i="43"/>
  <c r="AO20" i="43"/>
  <c r="N34" i="33"/>
  <c r="E154" i="33"/>
  <c r="N26" i="33"/>
  <c r="M26" i="33" s="1"/>
  <c r="Q4" i="31"/>
  <c r="Q22" i="31" s="1"/>
  <c r="R3" i="31"/>
  <c r="S3" i="31" s="1"/>
  <c r="R4" i="31"/>
  <c r="R22" i="31" s="1"/>
  <c r="AE4" i="43"/>
  <c r="AU4" i="43" s="1"/>
  <c r="AF1" i="43"/>
  <c r="AF4" i="43" s="1"/>
  <c r="AV4" i="43" s="1"/>
  <c r="M399" i="40"/>
  <c r="N399" i="40" s="1"/>
  <c r="L411" i="40"/>
  <c r="J371" i="38"/>
  <c r="AX38" i="43"/>
  <c r="H50" i="33" s="1"/>
  <c r="H26" i="48" s="1"/>
  <c r="AP38" i="43"/>
  <c r="H34" i="33" s="1"/>
  <c r="H22" i="48" s="1"/>
  <c r="N399" i="38"/>
  <c r="M411" i="38"/>
  <c r="AE4" i="31"/>
  <c r="AE22" i="31" s="1"/>
  <c r="AE26" i="31" s="1"/>
  <c r="AF3" i="31"/>
  <c r="AF4" i="31" s="1"/>
  <c r="AF22" i="31" s="1"/>
  <c r="AF78" i="31" s="1"/>
  <c r="AX30" i="43"/>
  <c r="F77" i="33" s="1"/>
  <c r="F19" i="48" s="1"/>
  <c r="AV30" i="43"/>
  <c r="F73" i="33" s="1"/>
  <c r="F18" i="48" s="1"/>
  <c r="AP30" i="43"/>
  <c r="F61" i="33" s="1"/>
  <c r="F15" i="48" s="1"/>
  <c r="E138" i="33"/>
  <c r="F81" i="48"/>
  <c r="Y16" i="35"/>
  <c r="L359" i="38"/>
  <c r="Y17" i="35"/>
  <c r="AG1" i="43"/>
  <c r="AH1" i="43" s="1"/>
  <c r="M411" i="40"/>
  <c r="AG3" i="31"/>
  <c r="AG4" i="31"/>
  <c r="AG22" i="31" s="1"/>
  <c r="O399" i="38"/>
  <c r="N411" i="38"/>
  <c r="S4" i="31"/>
  <c r="S22" i="31" s="1"/>
  <c r="S66" i="31" s="1"/>
  <c r="T3" i="31"/>
  <c r="U3" i="31" s="1"/>
  <c r="U4" i="31" s="1"/>
  <c r="N411" i="40"/>
  <c r="O399" i="40"/>
  <c r="T4" i="31"/>
  <c r="T22" i="31" s="1"/>
  <c r="T48" i="31" s="1"/>
  <c r="AG4" i="43"/>
  <c r="AW4" i="43" s="1"/>
  <c r="P399" i="38"/>
  <c r="O411" i="38"/>
  <c r="M359" i="38"/>
  <c r="L371" i="38"/>
  <c r="Y18" i="35"/>
  <c r="AI1" i="43"/>
  <c r="AH4" i="43"/>
  <c r="AX4" i="43" s="1"/>
  <c r="P399" i="40"/>
  <c r="O411" i="40"/>
  <c r="Q399" i="38"/>
  <c r="P419" i="38"/>
  <c r="P411" i="38"/>
  <c r="Y19" i="35"/>
  <c r="N359" i="38"/>
  <c r="M371" i="38"/>
  <c r="Q399" i="40"/>
  <c r="P419" i="40"/>
  <c r="P411" i="40"/>
  <c r="O359" i="38"/>
  <c r="N371" i="38"/>
  <c r="Y20" i="35"/>
  <c r="R399" i="38"/>
  <c r="Q419" i="38"/>
  <c r="Q411" i="38"/>
  <c r="P359" i="38"/>
  <c r="O371" i="38"/>
  <c r="R399" i="40"/>
  <c r="Q419" i="40"/>
  <c r="Q411" i="40"/>
  <c r="R411" i="38"/>
  <c r="S399" i="38"/>
  <c r="S411" i="38" s="1"/>
  <c r="R419" i="38"/>
  <c r="Y21" i="35"/>
  <c r="S399" i="40"/>
  <c r="R419" i="40"/>
  <c r="R411" i="40"/>
  <c r="Y22" i="35"/>
  <c r="P371" i="38"/>
  <c r="P379" i="38"/>
  <c r="Q359" i="38"/>
  <c r="Y23" i="35"/>
  <c r="Q379" i="38"/>
  <c r="R359" i="38"/>
  <c r="Q371" i="38"/>
  <c r="S419" i="40"/>
  <c r="T399" i="40"/>
  <c r="S411" i="40"/>
  <c r="U399" i="40"/>
  <c r="T419" i="40"/>
  <c r="T411" i="40"/>
  <c r="S359" i="38"/>
  <c r="R371" i="38"/>
  <c r="R379" i="38"/>
  <c r="Y24" i="35"/>
  <c r="Y25" i="35"/>
  <c r="T359" i="38"/>
  <c r="S379" i="38"/>
  <c r="S371" i="38"/>
  <c r="U419" i="40"/>
  <c r="V399" i="40"/>
  <c r="U411" i="40"/>
  <c r="Y26" i="35"/>
  <c r="T371" i="38"/>
  <c r="T379" i="38"/>
  <c r="U359" i="38"/>
  <c r="V411" i="40"/>
  <c r="W399" i="40"/>
  <c r="V419" i="40"/>
  <c r="U371" i="38"/>
  <c r="U379" i="38"/>
  <c r="V359" i="38"/>
  <c r="Y27" i="35"/>
  <c r="Y28" i="35"/>
  <c r="W359" i="38"/>
  <c r="V371" i="38"/>
  <c r="V379" i="38"/>
  <c r="Y29" i="35"/>
  <c r="Y30" i="35" s="1"/>
  <c r="Y31" i="35" s="1"/>
  <c r="Y32" i="35" s="1"/>
  <c r="X359" i="38"/>
  <c r="W371" i="38"/>
  <c r="W379" i="38"/>
  <c r="Y359" i="38"/>
  <c r="X379" i="38"/>
  <c r="X371" i="38"/>
  <c r="Y379" i="38"/>
  <c r="Z359" i="38"/>
  <c r="Y371" i="38"/>
  <c r="Z371" i="38"/>
  <c r="Z379" i="38"/>
  <c r="Y33" i="35"/>
  <c r="Y34" i="35"/>
  <c r="Y35" i="35" s="1"/>
  <c r="Y36" i="35" s="1"/>
  <c r="Y37" i="35" s="1"/>
  <c r="Y38" i="35" s="1"/>
  <c r="Y39" i="35" s="1"/>
  <c r="Y40" i="35" s="1"/>
  <c r="Y41" i="35"/>
  <c r="Y42" i="35" s="1"/>
  <c r="Y43" i="35" s="1"/>
  <c r="Y44" i="35" s="1"/>
  <c r="Y45" i="35" s="1"/>
  <c r="AU48" i="31" l="1"/>
  <c r="AU66" i="31"/>
  <c r="AU73" i="31"/>
  <c r="AV78" i="31"/>
  <c r="Z48" i="31"/>
  <c r="AV26" i="31"/>
  <c r="AV33" i="31"/>
  <c r="Z66" i="31"/>
  <c r="AV73" i="31"/>
  <c r="N20" i="43"/>
  <c r="Z78" i="31"/>
  <c r="Z73" i="31"/>
  <c r="H24" i="48"/>
  <c r="I74" i="38"/>
  <c r="I75" i="38" s="1"/>
  <c r="G101" i="39"/>
  <c r="G21" i="32"/>
  <c r="F99" i="33"/>
  <c r="N25" i="33" s="1"/>
  <c r="F45" i="48"/>
  <c r="E45" i="48" s="1"/>
  <c r="F357" i="41"/>
  <c r="F397" i="41" s="1"/>
  <c r="R23" i="32"/>
  <c r="Q23" i="32" s="1"/>
  <c r="M128" i="28" s="1"/>
  <c r="K96" i="38"/>
  <c r="G294" i="38"/>
  <c r="F142" i="40"/>
  <c r="F150" i="40" s="1"/>
  <c r="F323" i="38"/>
  <c r="I26" i="31"/>
  <c r="Y56" i="32"/>
  <c r="W56" i="32" s="1"/>
  <c r="I78" i="31"/>
  <c r="F48" i="48"/>
  <c r="F328" i="38"/>
  <c r="AT30" i="43"/>
  <c r="F69" i="33" s="1"/>
  <c r="F17" i="48" s="1"/>
  <c r="G140" i="40"/>
  <c r="G156" i="40" s="1"/>
  <c r="F117" i="41"/>
  <c r="F120" i="41" s="1"/>
  <c r="H30" i="38"/>
  <c r="I30" i="38" s="1"/>
  <c r="J30" i="38" s="1"/>
  <c r="K30" i="38" s="1"/>
  <c r="G31" i="38"/>
  <c r="F31" i="38"/>
  <c r="F32" i="38" s="1"/>
  <c r="G96" i="38"/>
  <c r="I66" i="31"/>
  <c r="H96" i="38"/>
  <c r="F8" i="38"/>
  <c r="F9" i="38" s="1"/>
  <c r="I73" i="31"/>
  <c r="N95" i="38"/>
  <c r="N96" i="38" s="1"/>
  <c r="F290" i="38"/>
  <c r="F334" i="38" s="1"/>
  <c r="R72" i="48"/>
  <c r="F96" i="38"/>
  <c r="F97" i="38" s="1"/>
  <c r="G97" i="38" s="1"/>
  <c r="F289" i="38"/>
  <c r="S23" i="32"/>
  <c r="G168" i="38"/>
  <c r="L6" i="31"/>
  <c r="F287" i="41"/>
  <c r="F331" i="41" s="1"/>
  <c r="I33" i="31"/>
  <c r="F289" i="41"/>
  <c r="G284" i="41"/>
  <c r="H284" i="41" s="1"/>
  <c r="I284" i="41" s="1"/>
  <c r="I286" i="41" s="1"/>
  <c r="I330" i="41" s="1"/>
  <c r="L96" i="38"/>
  <c r="F357" i="40"/>
  <c r="G31" i="41"/>
  <c r="G32" i="41" s="1"/>
  <c r="H33" i="31"/>
  <c r="G115" i="39"/>
  <c r="L5" i="31"/>
  <c r="G144" i="39"/>
  <c r="H78" i="31"/>
  <c r="Y57" i="32"/>
  <c r="G76" i="41"/>
  <c r="I166" i="41"/>
  <c r="J166" i="41" s="1"/>
  <c r="K166" i="41" s="1"/>
  <c r="H167" i="41"/>
  <c r="G117" i="38"/>
  <c r="H116" i="38"/>
  <c r="I285" i="40"/>
  <c r="I329" i="40" s="1"/>
  <c r="J284" i="40"/>
  <c r="I287" i="40"/>
  <c r="I331" i="40" s="1"/>
  <c r="I286" i="40"/>
  <c r="I330" i="40" s="1"/>
  <c r="I290" i="40"/>
  <c r="I334" i="40" s="1"/>
  <c r="I288" i="40"/>
  <c r="I332" i="40" s="1"/>
  <c r="I289" i="40"/>
  <c r="F247" i="41"/>
  <c r="J234" i="41"/>
  <c r="K234" i="41" s="1"/>
  <c r="L234" i="41" s="1"/>
  <c r="M234" i="41" s="1"/>
  <c r="N234" i="41" s="1"/>
  <c r="O234" i="41" s="1"/>
  <c r="I235" i="41"/>
  <c r="J294" i="40"/>
  <c r="K294" i="40" s="1"/>
  <c r="K323" i="40" s="1"/>
  <c r="N6" i="43"/>
  <c r="F257" i="40"/>
  <c r="S21" i="32"/>
  <c r="F142" i="38"/>
  <c r="F150" i="38" s="1"/>
  <c r="F2" i="40"/>
  <c r="G2" i="40" s="1"/>
  <c r="G130" i="39"/>
  <c r="N10" i="43"/>
  <c r="F212" i="38"/>
  <c r="F214" i="38" s="1"/>
  <c r="F216" i="38" s="1"/>
  <c r="F217" i="38" s="1"/>
  <c r="F257" i="38"/>
  <c r="F265" i="38" s="1"/>
  <c r="G138" i="39"/>
  <c r="F117" i="38"/>
  <c r="F120" i="38" s="1"/>
  <c r="I16" i="32"/>
  <c r="G140" i="38"/>
  <c r="G156" i="38" s="1"/>
  <c r="J74" i="38"/>
  <c r="N15" i="43"/>
  <c r="G109" i="39"/>
  <c r="N22" i="43"/>
  <c r="F156" i="40"/>
  <c r="S28" i="32"/>
  <c r="I323" i="40"/>
  <c r="I28" i="32"/>
  <c r="G235" i="41"/>
  <c r="G236" i="41" s="1"/>
  <c r="G247" i="41" s="1"/>
  <c r="I328" i="40"/>
  <c r="I38" i="32"/>
  <c r="H31" i="38"/>
  <c r="G72" i="39"/>
  <c r="K128" i="28"/>
  <c r="G110" i="39"/>
  <c r="H338" i="40"/>
  <c r="S16" i="32"/>
  <c r="H81" i="48"/>
  <c r="H317" i="40"/>
  <c r="L7" i="31"/>
  <c r="H323" i="40"/>
  <c r="H328" i="40"/>
  <c r="E50" i="48"/>
  <c r="F214" i="40"/>
  <c r="H53" i="48"/>
  <c r="D46" i="48"/>
  <c r="F16" i="48"/>
  <c r="F20" i="48" s="1"/>
  <c r="F84" i="33"/>
  <c r="N47" i="33" s="1"/>
  <c r="F171" i="38"/>
  <c r="F173" i="38" s="1"/>
  <c r="F176" i="38" s="1"/>
  <c r="F177" i="38" s="1"/>
  <c r="F186" i="38" s="1"/>
  <c r="F175" i="38"/>
  <c r="AY30" i="43"/>
  <c r="H338" i="41"/>
  <c r="H357" i="41" s="1"/>
  <c r="H397" i="41" s="1"/>
  <c r="G357" i="41"/>
  <c r="G397" i="41" s="1"/>
  <c r="H7" i="40"/>
  <c r="I7" i="40" s="1"/>
  <c r="G6" i="40"/>
  <c r="S24" i="32"/>
  <c r="G7" i="38"/>
  <c r="H31" i="40"/>
  <c r="F6" i="40"/>
  <c r="G212" i="40"/>
  <c r="G220" i="40" s="1"/>
  <c r="O95" i="38"/>
  <c r="AK11" i="35"/>
  <c r="AM11" i="35" s="1"/>
  <c r="F156" i="41"/>
  <c r="R73" i="48"/>
  <c r="F3" i="38"/>
  <c r="F259" i="41"/>
  <c r="G256" i="41" s="1"/>
  <c r="H140" i="40"/>
  <c r="AP46" i="43"/>
  <c r="K235" i="41"/>
  <c r="H74" i="41"/>
  <c r="G112" i="39"/>
  <c r="T21" i="32"/>
  <c r="G96" i="41"/>
  <c r="G19" i="32"/>
  <c r="F6" i="38"/>
  <c r="F142" i="41"/>
  <c r="F150" i="41" s="1"/>
  <c r="G140" i="41"/>
  <c r="H235" i="41"/>
  <c r="H38" i="32"/>
  <c r="R21" i="32"/>
  <c r="F2" i="41"/>
  <c r="G7" i="41"/>
  <c r="F3" i="41"/>
  <c r="G3" i="41" s="1"/>
  <c r="F6" i="41"/>
  <c r="I116" i="40"/>
  <c r="J116" i="40" s="1"/>
  <c r="K116" i="40" s="1"/>
  <c r="H117" i="40"/>
  <c r="F8" i="41"/>
  <c r="F9" i="41" s="1"/>
  <c r="I290" i="38"/>
  <c r="I334" i="38" s="1"/>
  <c r="I285" i="38"/>
  <c r="I329" i="38" s="1"/>
  <c r="I289" i="38"/>
  <c r="J284" i="38"/>
  <c r="I286" i="38"/>
  <c r="I330" i="38" s="1"/>
  <c r="I288" i="38"/>
  <c r="I332" i="38" s="1"/>
  <c r="I287" i="38"/>
  <c r="I331" i="38" s="1"/>
  <c r="L30" i="40"/>
  <c r="K31" i="40"/>
  <c r="I166" i="38"/>
  <c r="J166" i="38" s="1"/>
  <c r="H167" i="38"/>
  <c r="P49" i="33"/>
  <c r="H179" i="33"/>
  <c r="H204" i="33" s="1"/>
  <c r="H182" i="33"/>
  <c r="J33" i="31"/>
  <c r="J48" i="31"/>
  <c r="J73" i="31"/>
  <c r="J26" i="31"/>
  <c r="J78" i="31"/>
  <c r="J66" i="31"/>
  <c r="I294" i="41"/>
  <c r="I317" i="41" s="1"/>
  <c r="H323" i="41"/>
  <c r="H328" i="41"/>
  <c r="H317" i="41"/>
  <c r="H53" i="41"/>
  <c r="G54" i="41"/>
  <c r="F83" i="33"/>
  <c r="T94" i="48"/>
  <c r="AE57" i="32"/>
  <c r="G234" i="38"/>
  <c r="F235" i="38"/>
  <c r="F236" i="38" s="1"/>
  <c r="H66" i="31"/>
  <c r="H26" i="31"/>
  <c r="H48" i="31"/>
  <c r="R93" i="48"/>
  <c r="AD56" i="32"/>
  <c r="R12" i="35"/>
  <c r="R13" i="35" s="1"/>
  <c r="V11" i="35"/>
  <c r="X11" i="35" s="1"/>
  <c r="H6" i="40"/>
  <c r="G53" i="38"/>
  <c r="F54" i="38"/>
  <c r="F55" i="38" s="1"/>
  <c r="H116" i="41"/>
  <c r="I116" i="41" s="1"/>
  <c r="J116" i="41" s="1"/>
  <c r="G117" i="41"/>
  <c r="G120" i="41" s="1"/>
  <c r="J234" i="40"/>
  <c r="I235" i="40"/>
  <c r="AG14" i="35"/>
  <c r="AK12" i="35"/>
  <c r="AM12" i="35" s="1"/>
  <c r="AH12" i="35"/>
  <c r="AH13" i="35" s="1"/>
  <c r="H99" i="33"/>
  <c r="P25" i="33" s="1"/>
  <c r="H47" i="48"/>
  <c r="H48" i="48" s="1"/>
  <c r="H98" i="33"/>
  <c r="H100" i="33"/>
  <c r="P48" i="33" s="1"/>
  <c r="H108" i="33"/>
  <c r="B12" i="35"/>
  <c r="F11" i="35"/>
  <c r="H11" i="35" s="1"/>
  <c r="G328" i="41"/>
  <c r="G317" i="41"/>
  <c r="G323" i="41"/>
  <c r="G76" i="38"/>
  <c r="G87" i="38" s="1"/>
  <c r="F87" i="38"/>
  <c r="L74" i="40"/>
  <c r="M74" i="40" s="1"/>
  <c r="N74" i="40" s="1"/>
  <c r="O74" i="40" s="1"/>
  <c r="K75" i="40"/>
  <c r="K53" i="40"/>
  <c r="L53" i="40" s="1"/>
  <c r="L54" i="40" s="1"/>
  <c r="J54" i="40"/>
  <c r="G140" i="39"/>
  <c r="G111" i="39"/>
  <c r="G169" i="39"/>
  <c r="AR50" i="43"/>
  <c r="AR52" i="43"/>
  <c r="H191" i="33" s="1"/>
  <c r="H193" i="33" s="1"/>
  <c r="H205" i="33" s="1"/>
  <c r="R28" i="32"/>
  <c r="H16" i="32"/>
  <c r="H6" i="32"/>
  <c r="G81" i="48"/>
  <c r="R16" i="32"/>
  <c r="AP50" i="43"/>
  <c r="F177" i="33" s="1"/>
  <c r="I54" i="40"/>
  <c r="M36" i="33"/>
  <c r="AJ26" i="31"/>
  <c r="AJ48" i="31"/>
  <c r="AJ66" i="31"/>
  <c r="AJ73" i="31"/>
  <c r="AJ33" i="31"/>
  <c r="AE48" i="31"/>
  <c r="AE66" i="31"/>
  <c r="AE73" i="31"/>
  <c r="M26" i="31"/>
  <c r="M48" i="31"/>
  <c r="M78" i="31"/>
  <c r="M33" i="31"/>
  <c r="M66" i="31"/>
  <c r="H75" i="33"/>
  <c r="AC33" i="31"/>
  <c r="M17" i="43"/>
  <c r="N7" i="43"/>
  <c r="N21" i="43"/>
  <c r="M7" i="43"/>
  <c r="N11" i="43"/>
  <c r="AC73" i="31"/>
  <c r="H37" i="31"/>
  <c r="AA37" i="31" s="1"/>
  <c r="AA44" i="31" s="1"/>
  <c r="M9" i="43"/>
  <c r="N18" i="43"/>
  <c r="AC66" i="31"/>
  <c r="M6" i="43"/>
  <c r="M16" i="43"/>
  <c r="N9" i="43"/>
  <c r="S78" i="31"/>
  <c r="AC78" i="31"/>
  <c r="M20" i="43"/>
  <c r="N19" i="43"/>
  <c r="M15" i="43"/>
  <c r="N8" i="43"/>
  <c r="AC48" i="31"/>
  <c r="AF33" i="31"/>
  <c r="M21" i="43"/>
  <c r="M11" i="43"/>
  <c r="M8" i="43"/>
  <c r="O73" i="31"/>
  <c r="O33" i="31"/>
  <c r="R33" i="31"/>
  <c r="R48" i="31"/>
  <c r="R66" i="31"/>
  <c r="R78" i="31"/>
  <c r="AJ11" i="31"/>
  <c r="H126" i="39"/>
  <c r="Q66" i="31"/>
  <c r="Q33" i="31"/>
  <c r="Q78" i="31"/>
  <c r="Q48" i="31"/>
  <c r="J37" i="31"/>
  <c r="AW37" i="31" s="1"/>
  <c r="AW44" i="31" s="1"/>
  <c r="AW13" i="31"/>
  <c r="AD26" i="31"/>
  <c r="AD48" i="31"/>
  <c r="AG33" i="31"/>
  <c r="AG26" i="31"/>
  <c r="AX73" i="31"/>
  <c r="AX78" i="31"/>
  <c r="AX66" i="31"/>
  <c r="AX26" i="31"/>
  <c r="AX33" i="31"/>
  <c r="AX48" i="31"/>
  <c r="S48" i="31"/>
  <c r="AF48" i="31"/>
  <c r="O78" i="31"/>
  <c r="S33" i="31"/>
  <c r="AF66" i="31"/>
  <c r="O66" i="31"/>
  <c r="S73" i="31"/>
  <c r="O48" i="31"/>
  <c r="S26" i="31"/>
  <c r="AB78" i="31"/>
  <c r="AB48" i="31"/>
  <c r="AB73" i="31"/>
  <c r="N73" i="31"/>
  <c r="N33" i="31"/>
  <c r="N48" i="31"/>
  <c r="N26" i="31"/>
  <c r="N66" i="31"/>
  <c r="N78" i="31"/>
  <c r="Y78" i="31"/>
  <c r="Y66" i="31"/>
  <c r="Y48" i="31"/>
  <c r="Y73" i="31"/>
  <c r="Y33" i="31"/>
  <c r="Y26" i="31"/>
  <c r="I37" i="31"/>
  <c r="AL37" i="31" s="1"/>
  <c r="AL44" i="31" s="1"/>
  <c r="H128" i="39"/>
  <c r="AA48" i="31"/>
  <c r="AA33" i="31"/>
  <c r="AA26" i="31"/>
  <c r="AA78" i="31"/>
  <c r="AA73" i="31"/>
  <c r="AA66" i="31"/>
  <c r="AD66" i="31"/>
  <c r="H157" i="39"/>
  <c r="AG48" i="31"/>
  <c r="T78" i="31"/>
  <c r="G13" i="31"/>
  <c r="T73" i="31"/>
  <c r="R26" i="31"/>
  <c r="AE78" i="31"/>
  <c r="Q26" i="31"/>
  <c r="AA13" i="31"/>
  <c r="X399" i="40"/>
  <c r="W419" i="40"/>
  <c r="W411" i="40"/>
  <c r="S419" i="38"/>
  <c r="T399" i="38"/>
  <c r="T33" i="31"/>
  <c r="T26" i="31"/>
  <c r="T66" i="31"/>
  <c r="U22" i="31"/>
  <c r="AG78" i="31"/>
  <c r="AG66" i="31"/>
  <c r="AG73" i="31"/>
  <c r="AF26" i="31"/>
  <c r="AF73" i="31"/>
  <c r="G6" i="41"/>
  <c r="H7" i="41"/>
  <c r="G8" i="41"/>
  <c r="R73" i="31"/>
  <c r="AE33" i="31"/>
  <c r="Q73" i="31"/>
  <c r="BA3" i="31"/>
  <c r="AZ4" i="31"/>
  <c r="AZ22" i="31" s="1"/>
  <c r="H11" i="31"/>
  <c r="P66" i="31"/>
  <c r="P33" i="31"/>
  <c r="P26" i="31"/>
  <c r="P78" i="31"/>
  <c r="P48" i="31"/>
  <c r="AD33" i="31"/>
  <c r="F138" i="33"/>
  <c r="AO10" i="43"/>
  <c r="AM10" i="43"/>
  <c r="AP23" i="43"/>
  <c r="AP24" i="43"/>
  <c r="N27" i="33"/>
  <c r="I96" i="38"/>
  <c r="J96" i="38"/>
  <c r="K31" i="41"/>
  <c r="AV38" i="43"/>
  <c r="AR38" i="43"/>
  <c r="H38" i="33" s="1"/>
  <c r="AO24" i="43"/>
  <c r="M30" i="41"/>
  <c r="L31" i="41"/>
  <c r="G87" i="41"/>
  <c r="P1" i="43"/>
  <c r="O2" i="43"/>
  <c r="O4" i="43"/>
  <c r="AD78" i="31"/>
  <c r="AD73" i="31"/>
  <c r="AP25" i="43"/>
  <c r="AQ26" i="43"/>
  <c r="AO21" i="43"/>
  <c r="AY33" i="31"/>
  <c r="AY78" i="31"/>
  <c r="AY73" i="31"/>
  <c r="AY26" i="31"/>
  <c r="AY66" i="31"/>
  <c r="P24" i="33"/>
  <c r="M24" i="33" s="1"/>
  <c r="AL13" i="31"/>
  <c r="O26" i="31"/>
  <c r="Z26" i="43"/>
  <c r="F32" i="48"/>
  <c r="AI8" i="43"/>
  <c r="F144" i="33"/>
  <c r="F153" i="33" s="1"/>
  <c r="F52" i="48"/>
  <c r="H9" i="32"/>
  <c r="G34" i="31"/>
  <c r="F162" i="33"/>
  <c r="F171" i="33" s="1"/>
  <c r="F36" i="48"/>
  <c r="G46" i="48"/>
  <c r="G100" i="33"/>
  <c r="O48" i="33" s="1"/>
  <c r="G99" i="33"/>
  <c r="G108" i="33"/>
  <c r="G98" i="33"/>
  <c r="F214" i="41"/>
  <c r="F220" i="41"/>
  <c r="AB33" i="31"/>
  <c r="AB66" i="31"/>
  <c r="AQ22" i="43"/>
  <c r="AA26" i="43"/>
  <c r="P35" i="33" s="1"/>
  <c r="J12" i="31" s="1"/>
  <c r="F397" i="40"/>
  <c r="F385" i="40"/>
  <c r="H162" i="33"/>
  <c r="H171" i="33" s="1"/>
  <c r="H173" i="33" s="1"/>
  <c r="H172" i="33"/>
  <c r="P27" i="33" s="1"/>
  <c r="J95" i="41"/>
  <c r="I96" i="41"/>
  <c r="H39" i="48"/>
  <c r="H212" i="33"/>
  <c r="H217" i="33" s="1"/>
  <c r="AQ12" i="43"/>
  <c r="N12" i="43"/>
  <c r="AA24" i="43"/>
  <c r="N35" i="33" s="1"/>
  <c r="AB26" i="31"/>
  <c r="H36" i="48"/>
  <c r="H37" i="48" s="1"/>
  <c r="AQ17" i="43"/>
  <c r="N17" i="43"/>
  <c r="AS23" i="43"/>
  <c r="G35" i="46"/>
  <c r="G21" i="46" s="1"/>
  <c r="G22" i="46" s="1"/>
  <c r="E6" i="46" s="1"/>
  <c r="F2" i="42"/>
  <c r="H30" i="33"/>
  <c r="G30" i="33"/>
  <c r="F30" i="33"/>
  <c r="E11" i="46"/>
  <c r="AX23" i="43"/>
  <c r="AX25" i="43"/>
  <c r="AR51" i="43" s="1"/>
  <c r="F96" i="40"/>
  <c r="F97" i="40" s="1"/>
  <c r="H75" i="40"/>
  <c r="F167" i="40"/>
  <c r="F168" i="40" s="1"/>
  <c r="I75" i="40"/>
  <c r="F75" i="40"/>
  <c r="F76" i="40" s="1"/>
  <c r="G167" i="40"/>
  <c r="G96" i="40"/>
  <c r="F3" i="40"/>
  <c r="G3" i="40" s="1"/>
  <c r="G54" i="40"/>
  <c r="G9" i="48"/>
  <c r="H96" i="40"/>
  <c r="L96" i="40"/>
  <c r="J167" i="40"/>
  <c r="K96" i="40"/>
  <c r="J75" i="40"/>
  <c r="H54" i="40"/>
  <c r="G235" i="40"/>
  <c r="F31" i="40"/>
  <c r="F32" i="40" s="1"/>
  <c r="F235" i="40"/>
  <c r="F236" i="40" s="1"/>
  <c r="H235" i="40"/>
  <c r="K167" i="40"/>
  <c r="J96" i="40"/>
  <c r="I167" i="40"/>
  <c r="G117" i="40"/>
  <c r="F54" i="40"/>
  <c r="F55" i="40" s="1"/>
  <c r="M96" i="40"/>
  <c r="I96" i="40"/>
  <c r="G75" i="40"/>
  <c r="H167" i="40"/>
  <c r="F8" i="40"/>
  <c r="F9" i="40" s="1"/>
  <c r="G8" i="40"/>
  <c r="N96" i="40"/>
  <c r="H22" i="45"/>
  <c r="I29" i="31" s="1"/>
  <c r="H96" i="41"/>
  <c r="F67" i="33"/>
  <c r="F39" i="33"/>
  <c r="F40" i="33" s="1"/>
  <c r="F70" i="48" s="1"/>
  <c r="P95" i="40"/>
  <c r="O96" i="40"/>
  <c r="F261" i="41"/>
  <c r="F262" i="41" s="1"/>
  <c r="G43" i="33"/>
  <c r="G44" i="33" s="1"/>
  <c r="G71" i="33"/>
  <c r="F107" i="33"/>
  <c r="F104" i="33"/>
  <c r="F95" i="33"/>
  <c r="E53" i="45"/>
  <c r="T28" i="32"/>
  <c r="T16" i="32"/>
  <c r="J38" i="32"/>
  <c r="J6" i="32"/>
  <c r="J16" i="32"/>
  <c r="H56" i="45"/>
  <c r="H9" i="48"/>
  <c r="L235" i="41"/>
  <c r="F96" i="41"/>
  <c r="F97" i="41" s="1"/>
  <c r="G167" i="41"/>
  <c r="M166" i="40"/>
  <c r="L167" i="40"/>
  <c r="H31" i="41"/>
  <c r="F54" i="41"/>
  <c r="F55" i="41" s="1"/>
  <c r="G31" i="40"/>
  <c r="G64" i="45"/>
  <c r="G22" i="45" s="1"/>
  <c r="F117" i="40"/>
  <c r="F120" i="40" s="1"/>
  <c r="F357" i="38"/>
  <c r="G338" i="38"/>
  <c r="F64" i="45"/>
  <c r="AU23" i="43"/>
  <c r="D131" i="28"/>
  <c r="H359" i="41"/>
  <c r="G371" i="41"/>
  <c r="H64" i="45"/>
  <c r="H7" i="45"/>
  <c r="I7" i="45"/>
  <c r="G7" i="45"/>
  <c r="BA22" i="43"/>
  <c r="BA12" i="43"/>
  <c r="BA25" i="43" s="1"/>
  <c r="I23" i="31" s="1"/>
  <c r="D7" i="46"/>
  <c r="K24" i="43"/>
  <c r="AI24" i="43" s="1"/>
  <c r="AL3" i="31"/>
  <c r="AK4" i="31"/>
  <c r="AK22" i="31" s="1"/>
  <c r="I359" i="40"/>
  <c r="H371" i="40"/>
  <c r="AR23" i="43"/>
  <c r="E17" i="35"/>
  <c r="BA24" i="43"/>
  <c r="H23" i="31" s="1"/>
  <c r="R24" i="33"/>
  <c r="Q37" i="33"/>
  <c r="AA16" i="43"/>
  <c r="AW16" i="43"/>
  <c r="BA18" i="43"/>
  <c r="BA21" i="43"/>
  <c r="BA19" i="43"/>
  <c r="BA16" i="43"/>
  <c r="AA13" i="43"/>
  <c r="K23" i="43"/>
  <c r="G24" i="45"/>
  <c r="J24" i="45" s="1"/>
  <c r="BA6" i="43"/>
  <c r="I15" i="45"/>
  <c r="J27" i="31" s="1"/>
  <c r="H399" i="41"/>
  <c r="M235" i="41" l="1"/>
  <c r="I288" i="41"/>
  <c r="I332" i="41" s="1"/>
  <c r="I287" i="41"/>
  <c r="I331" i="41" s="1"/>
  <c r="J235" i="41"/>
  <c r="I289" i="41"/>
  <c r="S12" i="35"/>
  <c r="I290" i="41"/>
  <c r="I334" i="41" s="1"/>
  <c r="F108" i="38"/>
  <c r="H2" i="40"/>
  <c r="V12" i="35"/>
  <c r="X12" i="35" s="1"/>
  <c r="I285" i="41"/>
  <c r="I329" i="41" s="1"/>
  <c r="J284" i="41"/>
  <c r="J290" i="41" s="1"/>
  <c r="J334" i="41" s="1"/>
  <c r="F175" i="40"/>
  <c r="F171" i="40"/>
  <c r="F173" i="40" s="1"/>
  <c r="H8" i="40"/>
  <c r="K317" i="40"/>
  <c r="G120" i="38"/>
  <c r="G257" i="38"/>
  <c r="G265" i="38" s="1"/>
  <c r="H3" i="40"/>
  <c r="I3" i="40" s="1"/>
  <c r="G323" i="38"/>
  <c r="G328" i="38"/>
  <c r="G317" i="38"/>
  <c r="H294" i="38"/>
  <c r="G2" i="41"/>
  <c r="G58" i="41" s="1"/>
  <c r="G257" i="40"/>
  <c r="AC56" i="32"/>
  <c r="AB56" i="32" s="1"/>
  <c r="P93" i="48"/>
  <c r="H140" i="38"/>
  <c r="H212" i="38" s="1"/>
  <c r="H220" i="38" s="1"/>
  <c r="G142" i="40"/>
  <c r="G150" i="40" s="1"/>
  <c r="G32" i="38"/>
  <c r="H32" i="38" s="1"/>
  <c r="G212" i="38"/>
  <c r="G220" i="38" s="1"/>
  <c r="N235" i="41"/>
  <c r="G142" i="38"/>
  <c r="G150" i="38" s="1"/>
  <c r="H56" i="48"/>
  <c r="E56" i="48" s="1"/>
  <c r="H195" i="33"/>
  <c r="F259" i="38"/>
  <c r="F261" i="38" s="1"/>
  <c r="F262" i="38" s="1"/>
  <c r="I167" i="38"/>
  <c r="I167" i="41"/>
  <c r="J167" i="41"/>
  <c r="P50" i="33"/>
  <c r="M50" i="33" s="1"/>
  <c r="K54" i="40"/>
  <c r="E47" i="48"/>
  <c r="J317" i="40"/>
  <c r="K328" i="40"/>
  <c r="K74" i="38"/>
  <c r="J75" i="38"/>
  <c r="P234" i="41"/>
  <c r="O235" i="41"/>
  <c r="J285" i="40"/>
  <c r="J329" i="40" s="1"/>
  <c r="J288" i="40"/>
  <c r="J332" i="40" s="1"/>
  <c r="J290" i="40"/>
  <c r="J334" i="40" s="1"/>
  <c r="K284" i="40"/>
  <c r="J286" i="40"/>
  <c r="J330" i="40" s="1"/>
  <c r="J289" i="40"/>
  <c r="J287" i="40"/>
  <c r="J331" i="40" s="1"/>
  <c r="N75" i="40"/>
  <c r="J323" i="40"/>
  <c r="L294" i="40"/>
  <c r="M294" i="40" s="1"/>
  <c r="M323" i="40" s="1"/>
  <c r="G211" i="38"/>
  <c r="J328" i="40"/>
  <c r="H117" i="38"/>
  <c r="H120" i="38" s="1"/>
  <c r="I116" i="38"/>
  <c r="J116" i="38" s="1"/>
  <c r="K116" i="38" s="1"/>
  <c r="M75" i="40"/>
  <c r="M48" i="33"/>
  <c r="L75" i="40"/>
  <c r="F259" i="40"/>
  <c r="F265" i="40"/>
  <c r="H236" i="41"/>
  <c r="H247" i="41" s="1"/>
  <c r="F220" i="38"/>
  <c r="L166" i="41"/>
  <c r="K167" i="41"/>
  <c r="I338" i="41"/>
  <c r="J338" i="41" s="1"/>
  <c r="I338" i="40"/>
  <c r="H357" i="40"/>
  <c r="H397" i="40" s="1"/>
  <c r="H117" i="41"/>
  <c r="H120" i="41" s="1"/>
  <c r="H76" i="38"/>
  <c r="Q21" i="32"/>
  <c r="G211" i="40"/>
  <c r="G214" i="40" s="1"/>
  <c r="F216" i="40"/>
  <c r="F217" i="40" s="1"/>
  <c r="L30" i="38"/>
  <c r="K31" i="38"/>
  <c r="G265" i="40"/>
  <c r="H32" i="41"/>
  <c r="G100" i="40"/>
  <c r="H100" i="40" s="1"/>
  <c r="G175" i="40"/>
  <c r="G79" i="40"/>
  <c r="H79" i="40" s="1"/>
  <c r="G239" i="40"/>
  <c r="H239" i="40" s="1"/>
  <c r="G171" i="40"/>
  <c r="G173" i="40" s="1"/>
  <c r="G58" i="40"/>
  <c r="H58" i="40" s="1"/>
  <c r="I328" i="41"/>
  <c r="G3" i="38"/>
  <c r="G101" i="33"/>
  <c r="N294" i="40"/>
  <c r="N328" i="40" s="1"/>
  <c r="G142" i="41"/>
  <c r="G150" i="41" s="1"/>
  <c r="G212" i="41"/>
  <c r="G220" i="41" s="1"/>
  <c r="G257" i="41"/>
  <c r="G265" i="41" s="1"/>
  <c r="G156" i="41"/>
  <c r="H140" i="41"/>
  <c r="M53" i="40"/>
  <c r="M54" i="40" s="1"/>
  <c r="H101" i="33"/>
  <c r="L317" i="40"/>
  <c r="L328" i="40"/>
  <c r="H142" i="40"/>
  <c r="H150" i="40" s="1"/>
  <c r="H156" i="40"/>
  <c r="H257" i="40"/>
  <c r="H265" i="40" s="1"/>
  <c r="I140" i="40"/>
  <c r="J140" i="40" s="1"/>
  <c r="J158" i="40" s="1"/>
  <c r="H212" i="40"/>
  <c r="H220" i="40" s="1"/>
  <c r="G2" i="38"/>
  <c r="G6" i="38"/>
  <c r="G8" i="38"/>
  <c r="G9" i="38" s="1"/>
  <c r="H7" i="38"/>
  <c r="L323" i="40"/>
  <c r="H75" i="41"/>
  <c r="H76" i="41" s="1"/>
  <c r="I74" i="41"/>
  <c r="P95" i="38"/>
  <c r="O96" i="38"/>
  <c r="R94" i="48"/>
  <c r="AD57" i="32"/>
  <c r="K116" i="41"/>
  <c r="J117" i="41"/>
  <c r="I53" i="41"/>
  <c r="H54" i="41"/>
  <c r="I117" i="41"/>
  <c r="P29" i="33"/>
  <c r="F182" i="33"/>
  <c r="F203" i="33" s="1"/>
  <c r="F55" i="48"/>
  <c r="F57" i="48" s="1"/>
  <c r="F179" i="33"/>
  <c r="F204" i="33" s="1"/>
  <c r="N49" i="33"/>
  <c r="F66" i="38"/>
  <c r="H175" i="40"/>
  <c r="H171" i="40"/>
  <c r="H173" i="40" s="1"/>
  <c r="AH14" i="35"/>
  <c r="AG15" i="35"/>
  <c r="H53" i="38"/>
  <c r="G54" i="38"/>
  <c r="G55" i="38" s="1"/>
  <c r="F247" i="38"/>
  <c r="G108" i="38"/>
  <c r="H97" i="38"/>
  <c r="H108" i="38" s="1"/>
  <c r="AR53" i="43"/>
  <c r="J7" i="40"/>
  <c r="I6" i="40"/>
  <c r="I2" i="40"/>
  <c r="G235" i="38"/>
  <c r="G236" i="38" s="1"/>
  <c r="H234" i="38"/>
  <c r="K166" i="38"/>
  <c r="J167" i="38"/>
  <c r="H168" i="38"/>
  <c r="O294" i="40"/>
  <c r="J289" i="38"/>
  <c r="J290" i="38"/>
  <c r="J334" i="38" s="1"/>
  <c r="J288" i="38"/>
  <c r="J332" i="38" s="1"/>
  <c r="K284" i="38"/>
  <c r="J285" i="38"/>
  <c r="J329" i="38" s="1"/>
  <c r="J287" i="38"/>
  <c r="J331" i="38" s="1"/>
  <c r="J286" i="38"/>
  <c r="J330" i="38" s="1"/>
  <c r="H203" i="33"/>
  <c r="H206" i="33" s="1"/>
  <c r="P30" i="33"/>
  <c r="M30" i="33" s="1"/>
  <c r="E205" i="33"/>
  <c r="C12" i="35"/>
  <c r="B13" i="35"/>
  <c r="F12" i="35"/>
  <c r="H12" i="35" s="1"/>
  <c r="I76" i="38"/>
  <c r="H87" i="38"/>
  <c r="M30" i="40"/>
  <c r="L31" i="40"/>
  <c r="K234" i="40"/>
  <c r="J235" i="40"/>
  <c r="N23" i="33"/>
  <c r="I31" i="38"/>
  <c r="J31" i="38"/>
  <c r="J294" i="41"/>
  <c r="I323" i="41"/>
  <c r="L116" i="40"/>
  <c r="K117" i="40"/>
  <c r="F175" i="41"/>
  <c r="F171" i="41"/>
  <c r="F173" i="41" s="1"/>
  <c r="N26" i="43"/>
  <c r="M25" i="43"/>
  <c r="M26" i="43"/>
  <c r="N24" i="43"/>
  <c r="M24" i="43"/>
  <c r="M23" i="43"/>
  <c r="H70" i="39"/>
  <c r="O13" i="31"/>
  <c r="G37" i="31"/>
  <c r="O37" i="31" s="1"/>
  <c r="O44" i="31" s="1"/>
  <c r="H29" i="31"/>
  <c r="T11" i="35"/>
  <c r="I24" i="31"/>
  <c r="F63" i="48"/>
  <c r="F82" i="33"/>
  <c r="G236" i="40"/>
  <c r="F247" i="40"/>
  <c r="H12" i="31"/>
  <c r="AM22" i="43"/>
  <c r="AO22" i="43"/>
  <c r="F155" i="33"/>
  <c r="F102" i="48" s="1"/>
  <c r="E153" i="33"/>
  <c r="E155" i="33" s="1"/>
  <c r="AX37" i="43"/>
  <c r="AP37" i="43"/>
  <c r="G34" i="33" s="1"/>
  <c r="AV37" i="43"/>
  <c r="G46" i="33" s="1"/>
  <c r="G25" i="48" s="1"/>
  <c r="AT37" i="43"/>
  <c r="G42" i="33" s="1"/>
  <c r="G24" i="48" s="1"/>
  <c r="AR37" i="43"/>
  <c r="G38" i="33" s="1"/>
  <c r="G23" i="48" s="1"/>
  <c r="AP36" i="43"/>
  <c r="AX36" i="43"/>
  <c r="AV36" i="43"/>
  <c r="AT36" i="43"/>
  <c r="AR36" i="43"/>
  <c r="BB3" i="31"/>
  <c r="BA4" i="31"/>
  <c r="BA22" i="31" s="1"/>
  <c r="I7" i="41"/>
  <c r="H6" i="41"/>
  <c r="H8" i="41"/>
  <c r="H3" i="41"/>
  <c r="U66" i="31"/>
  <c r="U73" i="31"/>
  <c r="U48" i="31"/>
  <c r="U33" i="31"/>
  <c r="U26" i="31"/>
  <c r="U78" i="31"/>
  <c r="AL4" i="31"/>
  <c r="AL22" i="31" s="1"/>
  <c r="AM3" i="31"/>
  <c r="F176" i="40"/>
  <c r="F177" i="40" s="1"/>
  <c r="F66" i="40"/>
  <c r="G55" i="40"/>
  <c r="G32" i="40"/>
  <c r="G76" i="40"/>
  <c r="F87" i="40"/>
  <c r="K95" i="41"/>
  <c r="J96" i="41"/>
  <c r="G48" i="48"/>
  <c r="E46" i="48"/>
  <c r="E48" i="48" s="1"/>
  <c r="M31" i="41"/>
  <c r="N30" i="41"/>
  <c r="R22" i="33"/>
  <c r="G425" i="41"/>
  <c r="H338" i="38"/>
  <c r="G357" i="38"/>
  <c r="J7" i="45"/>
  <c r="H30" i="31"/>
  <c r="G23" i="45"/>
  <c r="G25" i="45" s="1"/>
  <c r="J15" i="45"/>
  <c r="F129" i="28" s="1"/>
  <c r="G55" i="41"/>
  <c r="F66" i="41"/>
  <c r="G168" i="41"/>
  <c r="F37" i="48"/>
  <c r="E36" i="48"/>
  <c r="E37" i="48" s="1"/>
  <c r="E32" i="48"/>
  <c r="E34" i="48" s="1"/>
  <c r="F34" i="48"/>
  <c r="E100" i="33"/>
  <c r="E18" i="35"/>
  <c r="I399" i="41"/>
  <c r="H411" i="41"/>
  <c r="G27" i="31"/>
  <c r="BA26" i="43"/>
  <c r="J23" i="31" s="1"/>
  <c r="BA23" i="43"/>
  <c r="AW25" i="43"/>
  <c r="AP51" i="43" s="1"/>
  <c r="AW23" i="43"/>
  <c r="J359" i="40"/>
  <c r="I371" i="40"/>
  <c r="J30" i="31"/>
  <c r="G97" i="41"/>
  <c r="F108" i="41"/>
  <c r="G168" i="40"/>
  <c r="G158" i="38"/>
  <c r="F158" i="38"/>
  <c r="F225" i="38"/>
  <c r="F270" i="38"/>
  <c r="F227" i="38"/>
  <c r="G225" i="38"/>
  <c r="F272" i="38"/>
  <c r="F10" i="48"/>
  <c r="G155" i="38"/>
  <c r="G272" i="38"/>
  <c r="G227" i="38"/>
  <c r="G270" i="38"/>
  <c r="F155" i="38"/>
  <c r="E171" i="33"/>
  <c r="F173" i="33"/>
  <c r="F84" i="48" s="1"/>
  <c r="P34" i="33"/>
  <c r="AI26" i="43"/>
  <c r="Y399" i="40"/>
  <c r="X419" i="40"/>
  <c r="X411" i="40"/>
  <c r="N16" i="43"/>
  <c r="AI16" i="43"/>
  <c r="AQ16" i="43"/>
  <c r="AK33" i="31"/>
  <c r="AK66" i="31"/>
  <c r="AK26" i="31"/>
  <c r="AK73" i="31"/>
  <c r="AK78" i="31"/>
  <c r="AK48" i="31"/>
  <c r="H25" i="45"/>
  <c r="H23" i="45"/>
  <c r="I30" i="31"/>
  <c r="I31" i="31" s="1"/>
  <c r="G9" i="40"/>
  <c r="F225" i="40"/>
  <c r="G10" i="48"/>
  <c r="F270" i="40"/>
  <c r="F158" i="40"/>
  <c r="F155" i="40"/>
  <c r="F272" i="40"/>
  <c r="F227" i="40"/>
  <c r="G391" i="40"/>
  <c r="G431" i="40" s="1"/>
  <c r="G374" i="40"/>
  <c r="H374" i="40"/>
  <c r="G415" i="40"/>
  <c r="G272" i="40"/>
  <c r="H391" i="40"/>
  <c r="H431" i="40" s="1"/>
  <c r="F391" i="40"/>
  <c r="G227" i="40"/>
  <c r="G385" i="40"/>
  <c r="H270" i="40"/>
  <c r="F394" i="40"/>
  <c r="G375" i="40"/>
  <c r="F375" i="40"/>
  <c r="G155" i="40"/>
  <c r="G158" i="40"/>
  <c r="G394" i="40"/>
  <c r="G366" i="40" s="1"/>
  <c r="G379" i="40" s="1"/>
  <c r="G270" i="40"/>
  <c r="H385" i="40"/>
  <c r="G434" i="40"/>
  <c r="G406" i="40" s="1"/>
  <c r="G419" i="40" s="1"/>
  <c r="G414" i="40"/>
  <c r="H155" i="40"/>
  <c r="G425" i="40"/>
  <c r="H425" i="40"/>
  <c r="G225" i="40"/>
  <c r="H375" i="40"/>
  <c r="H227" i="40"/>
  <c r="H225" i="40"/>
  <c r="H158" i="40"/>
  <c r="I155" i="40"/>
  <c r="J270" i="40"/>
  <c r="H394" i="40"/>
  <c r="H366" i="40" s="1"/>
  <c r="H379" i="40" s="1"/>
  <c r="H434" i="40"/>
  <c r="H406" i="40" s="1"/>
  <c r="H419" i="40" s="1"/>
  <c r="H272" i="40"/>
  <c r="H414" i="40"/>
  <c r="H415" i="40"/>
  <c r="I270" i="40"/>
  <c r="J225" i="40"/>
  <c r="F374" i="40"/>
  <c r="F216" i="41"/>
  <c r="F217" i="41" s="1"/>
  <c r="G211" i="41"/>
  <c r="P74" i="40"/>
  <c r="O75" i="40"/>
  <c r="AO26" i="43"/>
  <c r="O17" i="43"/>
  <c r="O22" i="43"/>
  <c r="O12" i="43"/>
  <c r="O13" i="43"/>
  <c r="O16" i="43"/>
  <c r="O10" i="43"/>
  <c r="O7" i="43"/>
  <c r="O8" i="43"/>
  <c r="O6" i="43"/>
  <c r="O18" i="43"/>
  <c r="O21" i="43"/>
  <c r="O14" i="43"/>
  <c r="O9" i="43"/>
  <c r="O11" i="43"/>
  <c r="O19" i="43"/>
  <c r="O20" i="43"/>
  <c r="O15" i="43"/>
  <c r="R14" i="35"/>
  <c r="S13" i="35"/>
  <c r="E172" i="33"/>
  <c r="Y11" i="31"/>
  <c r="H35" i="31"/>
  <c r="H97" i="39"/>
  <c r="J272" i="40"/>
  <c r="F108" i="40"/>
  <c r="G97" i="40"/>
  <c r="G270" i="41"/>
  <c r="F155" i="41"/>
  <c r="G225" i="41"/>
  <c r="F270" i="41"/>
  <c r="F158" i="41"/>
  <c r="G155" i="41"/>
  <c r="H272" i="41"/>
  <c r="H225" i="41"/>
  <c r="G272" i="41"/>
  <c r="F272" i="41"/>
  <c r="F227" i="41"/>
  <c r="G227" i="41"/>
  <c r="G158" i="41"/>
  <c r="H10" i="48"/>
  <c r="H158" i="41"/>
  <c r="H155" i="41"/>
  <c r="F391" i="41"/>
  <c r="F374" i="41"/>
  <c r="H227" i="41"/>
  <c r="H270" i="41"/>
  <c r="F394" i="41"/>
  <c r="F414" i="41"/>
  <c r="F375" i="41"/>
  <c r="F385" i="41"/>
  <c r="G374" i="41"/>
  <c r="H385" i="41"/>
  <c r="F225" i="41"/>
  <c r="G391" i="41"/>
  <c r="G431" i="41" s="1"/>
  <c r="F434" i="41"/>
  <c r="G394" i="41"/>
  <c r="G366" i="41" s="1"/>
  <c r="G379" i="41" s="1"/>
  <c r="G375" i="41"/>
  <c r="G434" i="41"/>
  <c r="G406" i="41" s="1"/>
  <c r="G419" i="41" s="1"/>
  <c r="F425" i="41"/>
  <c r="F415" i="41"/>
  <c r="H391" i="41"/>
  <c r="H431" i="41" s="1"/>
  <c r="G414" i="41"/>
  <c r="H394" i="41"/>
  <c r="H366" i="41" s="1"/>
  <c r="H379" i="41" s="1"/>
  <c r="G385" i="41"/>
  <c r="H425" i="41"/>
  <c r="AO17" i="43"/>
  <c r="AM17" i="43"/>
  <c r="AM12" i="43"/>
  <c r="AO12" i="43"/>
  <c r="P59" i="48"/>
  <c r="G9" i="32"/>
  <c r="F287" i="38"/>
  <c r="AR33" i="43"/>
  <c r="H65" i="33" s="1"/>
  <c r="H16" i="48" s="1"/>
  <c r="AT33" i="43"/>
  <c r="H69" i="33" s="1"/>
  <c r="H17" i="48" s="1"/>
  <c r="AP33" i="43"/>
  <c r="H61" i="33" s="1"/>
  <c r="AV33" i="43"/>
  <c r="H73" i="33" s="1"/>
  <c r="H18" i="48" s="1"/>
  <c r="AX33" i="43"/>
  <c r="P2" i="43"/>
  <c r="P4" i="43"/>
  <c r="Q1" i="43"/>
  <c r="H23" i="48"/>
  <c r="G415" i="41"/>
  <c r="J155" i="40"/>
  <c r="R25" i="33"/>
  <c r="N37" i="33"/>
  <c r="P37" i="33"/>
  <c r="J14" i="31" s="1"/>
  <c r="O37" i="33"/>
  <c r="I14" i="31" s="1"/>
  <c r="Q38" i="33"/>
  <c r="E56" i="45"/>
  <c r="J53" i="45"/>
  <c r="S24" i="33"/>
  <c r="F397" i="38"/>
  <c r="F374" i="38"/>
  <c r="F375" i="38"/>
  <c r="F391" i="38"/>
  <c r="F394" i="38"/>
  <c r="F385" i="38"/>
  <c r="F94" i="48"/>
  <c r="F98" i="33"/>
  <c r="P96" i="40"/>
  <c r="Q95" i="40"/>
  <c r="F47" i="42"/>
  <c r="G3" i="47"/>
  <c r="F1" i="42"/>
  <c r="G2" i="42"/>
  <c r="E217" i="33"/>
  <c r="E219" i="33" s="1"/>
  <c r="F87" i="48" s="1"/>
  <c r="H219" i="33"/>
  <c r="F434" i="40"/>
  <c r="F414" i="40"/>
  <c r="F415" i="40"/>
  <c r="F425" i="40"/>
  <c r="AQ23" i="43"/>
  <c r="R23" i="33" s="1"/>
  <c r="H46" i="33"/>
  <c r="H25" i="48" s="1"/>
  <c r="AY38" i="43"/>
  <c r="J227" i="40"/>
  <c r="G9" i="41"/>
  <c r="H434" i="41"/>
  <c r="H406" i="41" s="1"/>
  <c r="H419" i="41" s="1"/>
  <c r="T411" i="38"/>
  <c r="U399" i="38"/>
  <c r="T419" i="38"/>
  <c r="AQ13" i="43"/>
  <c r="AI13" i="43"/>
  <c r="AA23" i="43"/>
  <c r="AI23" i="43" s="1"/>
  <c r="AA25" i="43"/>
  <c r="N13" i="43"/>
  <c r="G23" i="31"/>
  <c r="D11" i="35"/>
  <c r="H24" i="31"/>
  <c r="H371" i="41"/>
  <c r="I359" i="41"/>
  <c r="G120" i="40"/>
  <c r="M167" i="40"/>
  <c r="N166" i="40"/>
  <c r="F108" i="33"/>
  <c r="H40" i="48"/>
  <c r="E39" i="48"/>
  <c r="E40" i="48" s="1"/>
  <c r="H156" i="39"/>
  <c r="AV12" i="31"/>
  <c r="J36" i="31"/>
  <c r="AV36" i="31" s="1"/>
  <c r="AV44" i="31" s="1"/>
  <c r="O25" i="33"/>
  <c r="M25" i="33" s="1"/>
  <c r="E99" i="33"/>
  <c r="E52" i="48"/>
  <c r="E53" i="48" s="1"/>
  <c r="F53" i="48"/>
  <c r="M27" i="33"/>
  <c r="AZ73" i="31"/>
  <c r="AZ78" i="31"/>
  <c r="AZ66" i="31"/>
  <c r="AZ33" i="31"/>
  <c r="AZ26" i="31"/>
  <c r="AZ48" i="31"/>
  <c r="G239" i="41" l="1"/>
  <c r="G175" i="41"/>
  <c r="G100" i="41"/>
  <c r="G79" i="41"/>
  <c r="H2" i="41"/>
  <c r="G171" i="41"/>
  <c r="G173" i="41" s="1"/>
  <c r="H272" i="38"/>
  <c r="H225" i="38"/>
  <c r="H226" i="38" s="1"/>
  <c r="H228" i="38" s="1"/>
  <c r="H158" i="38"/>
  <c r="J287" i="41"/>
  <c r="J331" i="41" s="1"/>
  <c r="K284" i="41"/>
  <c r="H227" i="38"/>
  <c r="N53" i="40"/>
  <c r="N54" i="40" s="1"/>
  <c r="H156" i="38"/>
  <c r="J289" i="41"/>
  <c r="H270" i="38"/>
  <c r="H271" i="38" s="1"/>
  <c r="H273" i="38" s="1"/>
  <c r="H142" i="38"/>
  <c r="H150" i="38" s="1"/>
  <c r="J285" i="41"/>
  <c r="J329" i="41" s="1"/>
  <c r="H155" i="38"/>
  <c r="I140" i="38"/>
  <c r="J140" i="38" s="1"/>
  <c r="J270" i="38" s="1"/>
  <c r="J288" i="41"/>
  <c r="J332" i="41" s="1"/>
  <c r="J286" i="41"/>
  <c r="J330" i="41" s="1"/>
  <c r="H57" i="48"/>
  <c r="I32" i="38"/>
  <c r="J32" i="38" s="1"/>
  <c r="K32" i="38" s="1"/>
  <c r="H257" i="38"/>
  <c r="H265" i="38" s="1"/>
  <c r="I227" i="40"/>
  <c r="I158" i="40"/>
  <c r="I158" i="38"/>
  <c r="H317" i="38"/>
  <c r="H323" i="38"/>
  <c r="H328" i="38"/>
  <c r="I294" i="38"/>
  <c r="I272" i="40"/>
  <c r="I225" i="40"/>
  <c r="J3" i="40"/>
  <c r="I357" i="41"/>
  <c r="I397" i="41" s="1"/>
  <c r="I414" i="41" s="1"/>
  <c r="G256" i="38"/>
  <c r="G259" i="38" s="1"/>
  <c r="H256" i="38" s="1"/>
  <c r="G214" i="38"/>
  <c r="H211" i="38" s="1"/>
  <c r="H214" i="38" s="1"/>
  <c r="N317" i="40"/>
  <c r="M317" i="40"/>
  <c r="M328" i="40"/>
  <c r="G176" i="40"/>
  <c r="I425" i="41"/>
  <c r="M166" i="41"/>
  <c r="L167" i="41"/>
  <c r="K117" i="38"/>
  <c r="L116" i="38"/>
  <c r="Q234" i="41"/>
  <c r="P235" i="41"/>
  <c r="K75" i="38"/>
  <c r="L74" i="38"/>
  <c r="I236" i="41"/>
  <c r="I247" i="41" s="1"/>
  <c r="K291" i="40"/>
  <c r="K335" i="40" s="1"/>
  <c r="K288" i="40"/>
  <c r="K332" i="40" s="1"/>
  <c r="K287" i="40"/>
  <c r="K331" i="40" s="1"/>
  <c r="K290" i="40"/>
  <c r="K334" i="40" s="1"/>
  <c r="L284" i="40"/>
  <c r="K286" i="40"/>
  <c r="K330" i="40" s="1"/>
  <c r="K285" i="40"/>
  <c r="K289" i="40"/>
  <c r="G256" i="40"/>
  <c r="G259" i="40" s="1"/>
  <c r="H256" i="40" s="1"/>
  <c r="H259" i="40" s="1"/>
  <c r="F261" i="40"/>
  <c r="F262" i="40" s="1"/>
  <c r="J158" i="38"/>
  <c r="I155" i="38"/>
  <c r="J225" i="38"/>
  <c r="I227" i="38"/>
  <c r="J227" i="38"/>
  <c r="J272" i="38"/>
  <c r="I225" i="38"/>
  <c r="H176" i="40"/>
  <c r="I270" i="38"/>
  <c r="I271" i="38" s="1"/>
  <c r="I357" i="40"/>
  <c r="J338" i="40"/>
  <c r="N23" i="43"/>
  <c r="G214" i="41"/>
  <c r="G216" i="41" s="1"/>
  <c r="G217" i="41" s="1"/>
  <c r="J155" i="38"/>
  <c r="J157" i="38" s="1"/>
  <c r="M30" i="38"/>
  <c r="L31" i="38"/>
  <c r="G259" i="41"/>
  <c r="F176" i="41"/>
  <c r="F177" i="41" s="1"/>
  <c r="F186" i="41" s="1"/>
  <c r="G58" i="38"/>
  <c r="G100" i="38"/>
  <c r="G239" i="38"/>
  <c r="G175" i="38"/>
  <c r="G171" i="38"/>
  <c r="G173" i="38" s="1"/>
  <c r="G79" i="38"/>
  <c r="Q95" i="38"/>
  <c r="P96" i="38"/>
  <c r="H211" i="40"/>
  <c r="H214" i="40" s="1"/>
  <c r="G216" i="40"/>
  <c r="G217" i="40" s="1"/>
  <c r="I75" i="41"/>
  <c r="I76" i="41" s="1"/>
  <c r="I87" i="41" s="1"/>
  <c r="J74" i="41"/>
  <c r="J257" i="40"/>
  <c r="J265" i="40" s="1"/>
  <c r="J142" i="40"/>
  <c r="J150" i="40" s="1"/>
  <c r="J156" i="40"/>
  <c r="J212" i="40"/>
  <c r="J220" i="40" s="1"/>
  <c r="K140" i="40"/>
  <c r="J156" i="38"/>
  <c r="J257" i="38"/>
  <c r="J265" i="38" s="1"/>
  <c r="K140" i="38"/>
  <c r="J142" i="38"/>
  <c r="J150" i="38" s="1"/>
  <c r="J212" i="38"/>
  <c r="J220" i="38" s="1"/>
  <c r="N323" i="40"/>
  <c r="H87" i="41"/>
  <c r="H8" i="38"/>
  <c r="H9" i="38" s="1"/>
  <c r="H2" i="38"/>
  <c r="H6" i="38"/>
  <c r="H3" i="38"/>
  <c r="I7" i="38"/>
  <c r="H257" i="41"/>
  <c r="H265" i="41" s="1"/>
  <c r="H212" i="41"/>
  <c r="H220" i="41" s="1"/>
  <c r="H142" i="41"/>
  <c r="H150" i="41" s="1"/>
  <c r="H156" i="41"/>
  <c r="I140" i="41"/>
  <c r="I97" i="38"/>
  <c r="I108" i="38" s="1"/>
  <c r="N30" i="40"/>
  <c r="M31" i="40"/>
  <c r="O323" i="40"/>
  <c r="O317" i="40"/>
  <c r="O328" i="40"/>
  <c r="P294" i="40"/>
  <c r="G247" i="38"/>
  <c r="S25" i="33"/>
  <c r="K285" i="38"/>
  <c r="K288" i="38"/>
  <c r="K332" i="38" s="1"/>
  <c r="K287" i="38"/>
  <c r="K331" i="38" s="1"/>
  <c r="K291" i="38"/>
  <c r="K335" i="38" s="1"/>
  <c r="K290" i="38"/>
  <c r="K334" i="38" s="1"/>
  <c r="L284" i="38"/>
  <c r="K286" i="38"/>
  <c r="K330" i="38" s="1"/>
  <c r="K289" i="38"/>
  <c r="I168" i="38"/>
  <c r="H235" i="38"/>
  <c r="H236" i="38" s="1"/>
  <c r="I234" i="38"/>
  <c r="J53" i="41"/>
  <c r="I54" i="41"/>
  <c r="J76" i="38"/>
  <c r="I87" i="38"/>
  <c r="B14" i="35"/>
  <c r="B15" i="35" s="1"/>
  <c r="C13" i="35"/>
  <c r="G66" i="38"/>
  <c r="H54" i="33"/>
  <c r="M116" i="40"/>
  <c r="L117" i="40"/>
  <c r="L166" i="38"/>
  <c r="K167" i="38"/>
  <c r="I100" i="40"/>
  <c r="I175" i="40"/>
  <c r="I58" i="40"/>
  <c r="I239" i="40"/>
  <c r="I79" i="40"/>
  <c r="I171" i="40"/>
  <c r="I173" i="40" s="1"/>
  <c r="I53" i="38"/>
  <c r="H54" i="38"/>
  <c r="H55" i="38" s="1"/>
  <c r="I117" i="38"/>
  <c r="I120" i="38" s="1"/>
  <c r="N29" i="33"/>
  <c r="J117" i="38"/>
  <c r="L234" i="40"/>
  <c r="K235" i="40"/>
  <c r="K338" i="41"/>
  <c r="J357" i="41"/>
  <c r="AH15" i="35"/>
  <c r="AG16" i="35"/>
  <c r="J317" i="41"/>
  <c r="J328" i="41"/>
  <c r="K294" i="41"/>
  <c r="J323" i="41"/>
  <c r="K7" i="40"/>
  <c r="J6" i="40"/>
  <c r="J2" i="40"/>
  <c r="F206" i="33"/>
  <c r="L116" i="41"/>
  <c r="K117" i="41"/>
  <c r="G176" i="41"/>
  <c r="G177" i="41" s="1"/>
  <c r="G186" i="41" s="1"/>
  <c r="I8" i="32"/>
  <c r="I30" i="32"/>
  <c r="J359" i="41"/>
  <c r="I371" i="41"/>
  <c r="F130" i="28"/>
  <c r="G24" i="31"/>
  <c r="G6" i="47"/>
  <c r="G4" i="47"/>
  <c r="H3" i="47"/>
  <c r="G5" i="47"/>
  <c r="F366" i="38"/>
  <c r="F379" i="38" s="1"/>
  <c r="O38" i="33"/>
  <c r="I15" i="31" s="1"/>
  <c r="Q39" i="33"/>
  <c r="R26" i="33"/>
  <c r="S26" i="33" s="1"/>
  <c r="N38" i="33"/>
  <c r="P38" i="33"/>
  <c r="J15" i="31" s="1"/>
  <c r="H55" i="33"/>
  <c r="P22" i="33" s="1"/>
  <c r="F157" i="41"/>
  <c r="F159" i="41" s="1"/>
  <c r="O24" i="43"/>
  <c r="G157" i="40"/>
  <c r="G159" i="40" s="1"/>
  <c r="E173" i="33"/>
  <c r="G157" i="38"/>
  <c r="G159" i="38" s="1"/>
  <c r="K96" i="41"/>
  <c r="L95" i="41"/>
  <c r="G66" i="40"/>
  <c r="H55" i="40"/>
  <c r="H236" i="40"/>
  <c r="G247" i="40"/>
  <c r="I7" i="32"/>
  <c r="I29" i="32"/>
  <c r="H324" i="41"/>
  <c r="H271" i="41"/>
  <c r="H273" i="41" s="1"/>
  <c r="G271" i="41"/>
  <c r="G273" i="41" s="1"/>
  <c r="G324" i="41"/>
  <c r="Y35" i="31"/>
  <c r="Y44" i="31" s="1"/>
  <c r="F157" i="40"/>
  <c r="F159" i="40" s="1"/>
  <c r="H324" i="38"/>
  <c r="J24" i="31"/>
  <c r="AI11" i="35"/>
  <c r="E19" i="35"/>
  <c r="H175" i="41"/>
  <c r="H239" i="41"/>
  <c r="H171" i="41"/>
  <c r="H173" i="41" s="1"/>
  <c r="H58" i="41"/>
  <c r="H79" i="41"/>
  <c r="H100" i="41"/>
  <c r="BA66" i="31"/>
  <c r="BA26" i="31"/>
  <c r="BA48" i="31"/>
  <c r="BA33" i="31"/>
  <c r="BA73" i="31"/>
  <c r="BA78" i="31"/>
  <c r="F86" i="33"/>
  <c r="E67" i="48" s="1"/>
  <c r="F85" i="33"/>
  <c r="F67" i="48" s="1"/>
  <c r="AB11" i="35"/>
  <c r="T12" i="35"/>
  <c r="F431" i="38"/>
  <c r="E108" i="33"/>
  <c r="O35" i="33"/>
  <c r="AI25" i="43"/>
  <c r="R95" i="40"/>
  <c r="Q96" i="40"/>
  <c r="J38" i="31"/>
  <c r="AX38" i="31" s="1"/>
  <c r="AX44" i="31" s="1"/>
  <c r="AX14" i="31"/>
  <c r="H158" i="39"/>
  <c r="H27" i="48"/>
  <c r="H226" i="41"/>
  <c r="H228" i="41" s="1"/>
  <c r="O25" i="43"/>
  <c r="Q74" i="40"/>
  <c r="P75" i="40"/>
  <c r="I226" i="40"/>
  <c r="I228" i="40" s="1"/>
  <c r="J271" i="40"/>
  <c r="J273" i="40" s="1"/>
  <c r="J324" i="40"/>
  <c r="G226" i="40"/>
  <c r="G228" i="40" s="1"/>
  <c r="I120" i="41"/>
  <c r="Y419" i="40"/>
  <c r="Z399" i="40"/>
  <c r="Y411" i="40"/>
  <c r="H168" i="40"/>
  <c r="G177" i="40"/>
  <c r="F186" i="40"/>
  <c r="BC3" i="31"/>
  <c r="BC4" i="31" s="1"/>
  <c r="BC22" i="31" s="1"/>
  <c r="BB4" i="31"/>
  <c r="BB22" i="31" s="1"/>
  <c r="H36" i="31"/>
  <c r="Z12" i="31"/>
  <c r="H98" i="39"/>
  <c r="H31" i="31"/>
  <c r="H129" i="39"/>
  <c r="AM14" i="31"/>
  <c r="I38" i="31"/>
  <c r="AM38" i="31" s="1"/>
  <c r="AM44" i="31" s="1"/>
  <c r="H15" i="48"/>
  <c r="O166" i="40"/>
  <c r="N167" i="40"/>
  <c r="H14" i="31"/>
  <c r="M37" i="33"/>
  <c r="J157" i="40"/>
  <c r="H97" i="40"/>
  <c r="G108" i="40"/>
  <c r="N25" i="43"/>
  <c r="F366" i="40"/>
  <c r="F379" i="40" s="1"/>
  <c r="F324" i="40"/>
  <c r="F271" i="40"/>
  <c r="F273" i="40" s="1"/>
  <c r="AM16" i="43"/>
  <c r="AO16" i="43"/>
  <c r="H157" i="38"/>
  <c r="G226" i="38"/>
  <c r="G228" i="38" s="1"/>
  <c r="G30" i="31"/>
  <c r="AN3" i="31"/>
  <c r="AM4" i="31"/>
  <c r="AM22" i="31" s="1"/>
  <c r="I6" i="41"/>
  <c r="J7" i="41"/>
  <c r="I3" i="41"/>
  <c r="I2" i="41"/>
  <c r="F38" i="33"/>
  <c r="F23" i="48" s="1"/>
  <c r="E23" i="48" s="1"/>
  <c r="AR39" i="43"/>
  <c r="G22" i="48"/>
  <c r="F101" i="33"/>
  <c r="E98" i="33"/>
  <c r="E101" i="33" s="1"/>
  <c r="F425" i="38"/>
  <c r="F434" i="38"/>
  <c r="F414" i="38"/>
  <c r="F415" i="38"/>
  <c r="Q4" i="43"/>
  <c r="Q2" i="43"/>
  <c r="R1" i="43"/>
  <c r="F406" i="41"/>
  <c r="F419" i="41" s="1"/>
  <c r="G157" i="41"/>
  <c r="G159" i="41" s="1"/>
  <c r="J226" i="40"/>
  <c r="J228" i="40" s="1"/>
  <c r="I157" i="40"/>
  <c r="H271" i="40"/>
  <c r="H273" i="40" s="1"/>
  <c r="H324" i="40"/>
  <c r="F157" i="38"/>
  <c r="F159" i="38" s="1"/>
  <c r="H168" i="41"/>
  <c r="F126" i="28"/>
  <c r="H76" i="40"/>
  <c r="G87" i="40"/>
  <c r="AL66" i="31"/>
  <c r="AL26" i="31"/>
  <c r="AL33" i="31"/>
  <c r="AL78" i="31"/>
  <c r="AL48" i="31"/>
  <c r="AL73" i="31"/>
  <c r="AT39" i="43"/>
  <c r="F42" i="33"/>
  <c r="F24" i="48" s="1"/>
  <c r="E24" i="48" s="1"/>
  <c r="G50" i="33"/>
  <c r="G26" i="48" s="1"/>
  <c r="AY37" i="43"/>
  <c r="V399" i="38"/>
  <c r="U411" i="38"/>
  <c r="U419" i="38"/>
  <c r="AO13" i="43"/>
  <c r="AO25" i="43" s="1"/>
  <c r="AM13" i="43"/>
  <c r="F431" i="41"/>
  <c r="I271" i="40"/>
  <c r="I273" i="40" s="1"/>
  <c r="I324" i="40"/>
  <c r="G271" i="40"/>
  <c r="G324" i="40"/>
  <c r="F226" i="40"/>
  <c r="F228" i="40" s="1"/>
  <c r="I226" i="38"/>
  <c r="G271" i="38"/>
  <c r="G273" i="38" s="1"/>
  <c r="G324" i="38"/>
  <c r="F324" i="38"/>
  <c r="F271" i="38"/>
  <c r="F273" i="38" s="1"/>
  <c r="G108" i="41"/>
  <c r="H97" i="41"/>
  <c r="K359" i="40"/>
  <c r="J371" i="40"/>
  <c r="G385" i="38"/>
  <c r="G375" i="38"/>
  <c r="G374" i="38"/>
  <c r="G394" i="38"/>
  <c r="G366" i="38" s="1"/>
  <c r="G379" i="38" s="1"/>
  <c r="G391" i="38"/>
  <c r="G431" i="38" s="1"/>
  <c r="G397" i="38"/>
  <c r="F46" i="33"/>
  <c r="F25" i="48" s="1"/>
  <c r="E25" i="48" s="1"/>
  <c r="AV39" i="43"/>
  <c r="H120" i="40"/>
  <c r="H29" i="32"/>
  <c r="H7" i="32"/>
  <c r="H9" i="41"/>
  <c r="G1" i="42"/>
  <c r="H2" i="42"/>
  <c r="G47" i="42"/>
  <c r="P20" i="43"/>
  <c r="P13" i="43"/>
  <c r="P17" i="43"/>
  <c r="P10" i="43"/>
  <c r="P19" i="43"/>
  <c r="P18" i="43"/>
  <c r="P14" i="43"/>
  <c r="P11" i="43"/>
  <c r="P21" i="43"/>
  <c r="P22" i="43"/>
  <c r="P8" i="43"/>
  <c r="P6" i="43"/>
  <c r="P9" i="43"/>
  <c r="P12" i="43"/>
  <c r="P15" i="43"/>
  <c r="P7" i="43"/>
  <c r="P16" i="43"/>
  <c r="F271" i="41"/>
  <c r="F273" i="41" s="1"/>
  <c r="F324" i="41"/>
  <c r="S14" i="35"/>
  <c r="R15" i="35"/>
  <c r="H157" i="40"/>
  <c r="H159" i="40" s="1"/>
  <c r="J11" i="31"/>
  <c r="M34" i="33"/>
  <c r="J226" i="38"/>
  <c r="F226" i="38"/>
  <c r="F228" i="38" s="1"/>
  <c r="H357" i="38"/>
  <c r="I338" i="38"/>
  <c r="AO23" i="43"/>
  <c r="H32" i="40"/>
  <c r="AX39" i="43"/>
  <c r="AY36" i="43"/>
  <c r="F50" i="33"/>
  <c r="F26" i="48" s="1"/>
  <c r="F331" i="38"/>
  <c r="I157" i="38"/>
  <c r="D17" i="35"/>
  <c r="L17" i="35" s="1"/>
  <c r="D18" i="35"/>
  <c r="L18" i="35" s="1"/>
  <c r="D15" i="35"/>
  <c r="L15" i="35" s="1"/>
  <c r="D14" i="35"/>
  <c r="L14" i="35" s="1"/>
  <c r="L11" i="35"/>
  <c r="D12" i="35"/>
  <c r="L12" i="35" s="1"/>
  <c r="D19" i="35"/>
  <c r="L19" i="35" s="1"/>
  <c r="D16" i="35"/>
  <c r="L16" i="35" s="1"/>
  <c r="D13" i="35"/>
  <c r="L13" i="35" s="1"/>
  <c r="F406" i="40"/>
  <c r="F419" i="40" s="1"/>
  <c r="E64" i="45"/>
  <c r="I22" i="45" s="1"/>
  <c r="J56" i="45"/>
  <c r="J64" i="45" s="1"/>
  <c r="H56" i="33"/>
  <c r="AY33" i="43"/>
  <c r="H77" i="33"/>
  <c r="H19" i="48" s="1"/>
  <c r="AQ25" i="43"/>
  <c r="F226" i="41"/>
  <c r="F228" i="41" s="1"/>
  <c r="F366" i="41"/>
  <c r="F379" i="41" s="1"/>
  <c r="H157" i="41"/>
  <c r="G226" i="41"/>
  <c r="G228" i="41" s="1"/>
  <c r="O26" i="43"/>
  <c r="O23" i="43"/>
  <c r="H226" i="40"/>
  <c r="H228" i="40" s="1"/>
  <c r="F431" i="40"/>
  <c r="H9" i="40"/>
  <c r="J271" i="38"/>
  <c r="G177" i="33"/>
  <c r="AP53" i="43"/>
  <c r="I411" i="41"/>
  <c r="J399" i="41"/>
  <c r="H55" i="41"/>
  <c r="G66" i="41"/>
  <c r="O30" i="41"/>
  <c r="N31" i="41"/>
  <c r="F34" i="33"/>
  <c r="AP39" i="43"/>
  <c r="I324" i="38" l="1"/>
  <c r="H259" i="38"/>
  <c r="G216" i="38"/>
  <c r="G217" i="38" s="1"/>
  <c r="H159" i="38"/>
  <c r="O53" i="40"/>
  <c r="K288" i="41"/>
  <c r="K332" i="41" s="1"/>
  <c r="K290" i="41"/>
  <c r="K334" i="41" s="1"/>
  <c r="K291" i="41"/>
  <c r="K335" i="41" s="1"/>
  <c r="K286" i="41"/>
  <c r="K330" i="41" s="1"/>
  <c r="L284" i="41"/>
  <c r="K287" i="41"/>
  <c r="K331" i="41" s="1"/>
  <c r="K285" i="41"/>
  <c r="K289" i="41"/>
  <c r="J236" i="41"/>
  <c r="I374" i="41"/>
  <c r="I394" i="41"/>
  <c r="I366" i="41" s="1"/>
  <c r="I379" i="41" s="1"/>
  <c r="I272" i="38"/>
  <c r="G261" i="38"/>
  <c r="G262" i="38" s="1"/>
  <c r="J120" i="38"/>
  <c r="K120" i="38" s="1"/>
  <c r="I385" i="41"/>
  <c r="L32" i="38"/>
  <c r="I391" i="41"/>
  <c r="I431" i="41" s="1"/>
  <c r="I375" i="41"/>
  <c r="J294" i="38"/>
  <c r="I328" i="38"/>
  <c r="I317" i="38"/>
  <c r="I323" i="38"/>
  <c r="G261" i="40"/>
  <c r="G262" i="40" s="1"/>
  <c r="I228" i="38"/>
  <c r="J159" i="40"/>
  <c r="H58" i="33"/>
  <c r="I415" i="41"/>
  <c r="I434" i="41"/>
  <c r="I406" i="41" s="1"/>
  <c r="I419" i="41" s="1"/>
  <c r="J228" i="38"/>
  <c r="G325" i="40"/>
  <c r="G326" i="40" s="1"/>
  <c r="G365" i="40" s="1"/>
  <c r="I176" i="40"/>
  <c r="R234" i="41"/>
  <c r="Q235" i="41"/>
  <c r="H211" i="41"/>
  <c r="H214" i="41" s="1"/>
  <c r="H216" i="41" s="1"/>
  <c r="H217" i="41" s="1"/>
  <c r="M116" i="38"/>
  <c r="L117" i="38"/>
  <c r="M284" i="40"/>
  <c r="L290" i="40"/>
  <c r="L334" i="40" s="1"/>
  <c r="L291" i="40"/>
  <c r="L335" i="40" s="1"/>
  <c r="L289" i="40"/>
  <c r="L287" i="40"/>
  <c r="L331" i="40" s="1"/>
  <c r="L288" i="40"/>
  <c r="L332" i="40" s="1"/>
  <c r="L286" i="40"/>
  <c r="L330" i="40" s="1"/>
  <c r="L285" i="40"/>
  <c r="K329" i="40"/>
  <c r="K336" i="40" s="1"/>
  <c r="K292" i="40"/>
  <c r="M74" i="38"/>
  <c r="L75" i="38"/>
  <c r="N166" i="41"/>
  <c r="M167" i="41"/>
  <c r="J159" i="38"/>
  <c r="J324" i="38"/>
  <c r="H159" i="41"/>
  <c r="H433" i="41" s="1"/>
  <c r="H405" i="41" s="1"/>
  <c r="H418" i="41" s="1"/>
  <c r="J97" i="38"/>
  <c r="J108" i="38" s="1"/>
  <c r="K338" i="40"/>
  <c r="J357" i="40"/>
  <c r="I397" i="40"/>
  <c r="I394" i="40"/>
  <c r="I366" i="40" s="1"/>
  <c r="I379" i="40" s="1"/>
  <c r="I375" i="40"/>
  <c r="I374" i="40"/>
  <c r="I385" i="40"/>
  <c r="I391" i="40"/>
  <c r="I431" i="40" s="1"/>
  <c r="C14" i="35"/>
  <c r="M31" i="38"/>
  <c r="M32" i="38" s="1"/>
  <c r="N30" i="38"/>
  <c r="AY39" i="43"/>
  <c r="I8" i="41"/>
  <c r="I9" i="41" s="1"/>
  <c r="J140" i="41"/>
  <c r="I158" i="41"/>
  <c r="I270" i="41"/>
  <c r="I272" i="41"/>
  <c r="I227" i="41"/>
  <c r="I225" i="41"/>
  <c r="I226" i="41" s="1"/>
  <c r="I155" i="41"/>
  <c r="I157" i="41" s="1"/>
  <c r="H79" i="38"/>
  <c r="H175" i="38"/>
  <c r="H239" i="38"/>
  <c r="H100" i="38"/>
  <c r="H58" i="38"/>
  <c r="H171" i="38"/>
  <c r="H173" i="38" s="1"/>
  <c r="G176" i="38"/>
  <c r="G177" i="38" s="1"/>
  <c r="G186" i="38" s="1"/>
  <c r="K212" i="38"/>
  <c r="K220" i="38" s="1"/>
  <c r="K156" i="38"/>
  <c r="L140" i="38"/>
  <c r="K142" i="38"/>
  <c r="K150" i="38" s="1"/>
  <c r="K257" i="38"/>
  <c r="K265" i="38" s="1"/>
  <c r="K155" i="38"/>
  <c r="K225" i="38"/>
  <c r="K158" i="38"/>
  <c r="K270" i="38"/>
  <c r="K272" i="38"/>
  <c r="K227" i="38"/>
  <c r="K74" i="41"/>
  <c r="J75" i="41"/>
  <c r="J76" i="41" s="1"/>
  <c r="Q96" i="38"/>
  <c r="R95" i="38"/>
  <c r="J247" i="41"/>
  <c r="K236" i="41"/>
  <c r="H84" i="33"/>
  <c r="P47" i="33" s="1"/>
  <c r="H57" i="33"/>
  <c r="H216" i="38"/>
  <c r="H217" i="38" s="1"/>
  <c r="I211" i="38"/>
  <c r="L140" i="40"/>
  <c r="K270" i="40"/>
  <c r="K158" i="40"/>
  <c r="K227" i="40"/>
  <c r="K142" i="40"/>
  <c r="K150" i="40" s="1"/>
  <c r="K155" i="40"/>
  <c r="K257" i="40"/>
  <c r="K265" i="40" s="1"/>
  <c r="K225" i="40"/>
  <c r="K226" i="40" s="1"/>
  <c r="K212" i="40"/>
  <c r="K220" i="40" s="1"/>
  <c r="K272" i="40"/>
  <c r="K156" i="40"/>
  <c r="H261" i="40"/>
  <c r="H262" i="40" s="1"/>
  <c r="I256" i="40"/>
  <c r="J7" i="38"/>
  <c r="I3" i="38"/>
  <c r="I6" i="38"/>
  <c r="I2" i="38"/>
  <c r="I211" i="40"/>
  <c r="H216" i="40"/>
  <c r="H217" i="40" s="1"/>
  <c r="G261" i="41"/>
  <c r="G262" i="41" s="1"/>
  <c r="H256" i="41"/>
  <c r="H259" i="41" s="1"/>
  <c r="H247" i="38"/>
  <c r="H66" i="38"/>
  <c r="K53" i="41"/>
  <c r="J54" i="41"/>
  <c r="J79" i="40"/>
  <c r="J100" i="40"/>
  <c r="J58" i="40"/>
  <c r="J171" i="40"/>
  <c r="J173" i="40" s="1"/>
  <c r="J175" i="40"/>
  <c r="J239" i="40"/>
  <c r="J234" i="38"/>
  <c r="I235" i="38"/>
  <c r="I236" i="38" s="1"/>
  <c r="L235" i="40"/>
  <c r="M234" i="40"/>
  <c r="J53" i="38"/>
  <c r="I54" i="38"/>
  <c r="I55" i="38" s="1"/>
  <c r="M166" i="38"/>
  <c r="L167" i="38"/>
  <c r="K8" i="40"/>
  <c r="L7" i="40"/>
  <c r="K6" i="40"/>
  <c r="K2" i="40"/>
  <c r="B16" i="35"/>
  <c r="B17" i="35" s="1"/>
  <c r="B18" i="35" s="1"/>
  <c r="B19" i="35" s="1"/>
  <c r="B20" i="35" s="1"/>
  <c r="B21" i="35" s="1"/>
  <c r="B22" i="35" s="1"/>
  <c r="B23" i="35" s="1"/>
  <c r="B24" i="35" s="1"/>
  <c r="B25" i="35" s="1"/>
  <c r="B26" i="35" s="1"/>
  <c r="B27" i="35" s="1"/>
  <c r="B28" i="35" s="1"/>
  <c r="C15" i="35"/>
  <c r="J87" i="38"/>
  <c r="K76" i="38"/>
  <c r="N31" i="40"/>
  <c r="O30" i="40"/>
  <c r="G56" i="33"/>
  <c r="O176" i="33" s="1"/>
  <c r="I20" i="32" s="1"/>
  <c r="AG17" i="35"/>
  <c r="AH16" i="35"/>
  <c r="J168" i="38"/>
  <c r="K292" i="38"/>
  <c r="K329" i="38"/>
  <c r="K336" i="38" s="1"/>
  <c r="K3" i="40"/>
  <c r="L338" i="41"/>
  <c r="K357" i="41"/>
  <c r="E26" i="48"/>
  <c r="K323" i="41"/>
  <c r="K317" i="41"/>
  <c r="K328" i="41"/>
  <c r="L294" i="41"/>
  <c r="N116" i="40"/>
  <c r="M117" i="40"/>
  <c r="G273" i="40"/>
  <c r="G433" i="40" s="1"/>
  <c r="G405" i="40" s="1"/>
  <c r="G418" i="40" s="1"/>
  <c r="P328" i="40"/>
  <c r="P323" i="40"/>
  <c r="P317" i="40"/>
  <c r="Q294" i="40"/>
  <c r="H325" i="40"/>
  <c r="H326" i="40" s="1"/>
  <c r="H365" i="40" s="1"/>
  <c r="M116" i="41"/>
  <c r="L117" i="41"/>
  <c r="J397" i="41"/>
  <c r="J394" i="41"/>
  <c r="J366" i="41" s="1"/>
  <c r="J379" i="41" s="1"/>
  <c r="J374" i="41"/>
  <c r="J375" i="41"/>
  <c r="J385" i="41"/>
  <c r="L290" i="38"/>
  <c r="L334" i="38" s="1"/>
  <c r="L289" i="38"/>
  <c r="L291" i="38"/>
  <c r="L335" i="38" s="1"/>
  <c r="L287" i="38"/>
  <c r="L331" i="38" s="1"/>
  <c r="M284" i="38"/>
  <c r="L286" i="38"/>
  <c r="L330" i="38" s="1"/>
  <c r="L285" i="38"/>
  <c r="L288" i="38"/>
  <c r="L332" i="38" s="1"/>
  <c r="H176" i="41"/>
  <c r="H177" i="41" s="1"/>
  <c r="P25" i="43"/>
  <c r="G433" i="41"/>
  <c r="G405" i="41" s="1"/>
  <c r="G418" i="41" s="1"/>
  <c r="F418" i="38"/>
  <c r="F433" i="38"/>
  <c r="G433" i="38"/>
  <c r="G405" i="38" s="1"/>
  <c r="G418" i="38" s="1"/>
  <c r="J325" i="38"/>
  <c r="Z36" i="31"/>
  <c r="Z44" i="31" s="1"/>
  <c r="Z419" i="40"/>
  <c r="Z411" i="40"/>
  <c r="R57" i="48"/>
  <c r="F285" i="40"/>
  <c r="I325" i="38"/>
  <c r="I326" i="38" s="1"/>
  <c r="I365" i="38" s="1"/>
  <c r="O31" i="41"/>
  <c r="P30" i="41"/>
  <c r="F325" i="41"/>
  <c r="F326" i="41" s="1"/>
  <c r="F365" i="41" s="1"/>
  <c r="Q19" i="43"/>
  <c r="Q17" i="43"/>
  <c r="Q11" i="43"/>
  <c r="Q21" i="43"/>
  <c r="Q6" i="43"/>
  <c r="Q8" i="43"/>
  <c r="Q9" i="43"/>
  <c r="Q20" i="43"/>
  <c r="Q10" i="43"/>
  <c r="Q22" i="43"/>
  <c r="Q16" i="43"/>
  <c r="Q12" i="43"/>
  <c r="Q18" i="43"/>
  <c r="Q7" i="43"/>
  <c r="Q13" i="43"/>
  <c r="Q14" i="43"/>
  <c r="Q15" i="43"/>
  <c r="I239" i="41"/>
  <c r="I58" i="41"/>
  <c r="I79" i="41"/>
  <c r="I100" i="41"/>
  <c r="I171" i="41"/>
  <c r="I173" i="41" s="1"/>
  <c r="I175" i="41"/>
  <c r="I97" i="40"/>
  <c r="H108" i="40"/>
  <c r="H38" i="31"/>
  <c r="AB14" i="31"/>
  <c r="G14" i="31"/>
  <c r="H100" i="39"/>
  <c r="H20" i="48"/>
  <c r="BB66" i="31"/>
  <c r="BB33" i="31"/>
  <c r="BB73" i="31"/>
  <c r="BB78" i="31"/>
  <c r="BB48" i="31"/>
  <c r="BB26" i="31"/>
  <c r="J325" i="40"/>
  <c r="J326" i="40" s="1"/>
  <c r="J365" i="40" s="1"/>
  <c r="R74" i="40"/>
  <c r="Q75" i="40"/>
  <c r="J29" i="32"/>
  <c r="J7" i="32"/>
  <c r="H15" i="31"/>
  <c r="M38" i="33"/>
  <c r="S30" i="32"/>
  <c r="R99" i="48" s="1"/>
  <c r="I40" i="32"/>
  <c r="AJ52" i="32"/>
  <c r="R78" i="48"/>
  <c r="H433" i="40"/>
  <c r="H405" i="40" s="1"/>
  <c r="H418" i="40" s="1"/>
  <c r="BC33" i="31"/>
  <c r="BC73" i="31"/>
  <c r="BC78" i="31"/>
  <c r="BC66" i="31"/>
  <c r="BC48" i="31"/>
  <c r="BC26" i="31"/>
  <c r="I168" i="40"/>
  <c r="H177" i="40"/>
  <c r="H325" i="41"/>
  <c r="H326" i="41" s="1"/>
  <c r="H365" i="41" s="1"/>
  <c r="K359" i="41"/>
  <c r="J371" i="41"/>
  <c r="R58" i="48"/>
  <c r="F286" i="40"/>
  <c r="K399" i="41"/>
  <c r="J411" i="41"/>
  <c r="F325" i="38"/>
  <c r="F326" i="38" s="1"/>
  <c r="F365" i="38" s="1"/>
  <c r="AQ11" i="35"/>
  <c r="AI12" i="35"/>
  <c r="AR31" i="43"/>
  <c r="AX31" i="43"/>
  <c r="AP31" i="43"/>
  <c r="AT31" i="43"/>
  <c r="AV31" i="43"/>
  <c r="J29" i="31"/>
  <c r="J22" i="45"/>
  <c r="I23" i="45"/>
  <c r="J23" i="45" s="1"/>
  <c r="I25" i="45"/>
  <c r="J11" i="35"/>
  <c r="N11" i="35" s="1"/>
  <c r="O11" i="35" s="1"/>
  <c r="P11" i="35" s="1"/>
  <c r="H397" i="38"/>
  <c r="H374" i="38"/>
  <c r="H375" i="38"/>
  <c r="H391" i="38"/>
  <c r="H431" i="38" s="1"/>
  <c r="H385" i="38"/>
  <c r="H394" i="38"/>
  <c r="H366" i="38" s="1"/>
  <c r="H379" i="38" s="1"/>
  <c r="L359" i="40"/>
  <c r="K371" i="40"/>
  <c r="W399" i="38"/>
  <c r="V411" i="38"/>
  <c r="V419" i="38"/>
  <c r="G54" i="33"/>
  <c r="K7" i="41"/>
  <c r="J6" i="41"/>
  <c r="J2" i="41"/>
  <c r="J3" i="41"/>
  <c r="J8" i="41"/>
  <c r="H30" i="32"/>
  <c r="H8" i="32"/>
  <c r="J120" i="41"/>
  <c r="T13" i="35"/>
  <c r="AB12" i="35"/>
  <c r="H261" i="38"/>
  <c r="H262" i="38" s="1"/>
  <c r="I256" i="38"/>
  <c r="H325" i="38"/>
  <c r="H326" i="38" s="1"/>
  <c r="H365" i="38" s="1"/>
  <c r="H247" i="40"/>
  <c r="I236" i="40"/>
  <c r="N39" i="33"/>
  <c r="O39" i="33"/>
  <c r="I16" i="31" s="1"/>
  <c r="Q40" i="33"/>
  <c r="P39" i="33"/>
  <c r="J16" i="31" s="1"/>
  <c r="R27" i="33"/>
  <c r="S27" i="33" s="1"/>
  <c r="H5" i="47"/>
  <c r="I3" i="47"/>
  <c r="H6" i="47"/>
  <c r="H4" i="47"/>
  <c r="G186" i="40"/>
  <c r="F418" i="41"/>
  <c r="F433" i="41"/>
  <c r="G179" i="33"/>
  <c r="G204" i="33" s="1"/>
  <c r="G55" i="48"/>
  <c r="G182" i="33"/>
  <c r="G203" i="33" s="1"/>
  <c r="O49" i="33"/>
  <c r="M49" i="33" s="1"/>
  <c r="R16" i="35"/>
  <c r="S15" i="35"/>
  <c r="P23" i="43"/>
  <c r="P26" i="43"/>
  <c r="F285" i="38"/>
  <c r="P57" i="48"/>
  <c r="G7" i="32"/>
  <c r="G414" i="38"/>
  <c r="G425" i="38"/>
  <c r="G434" i="38"/>
  <c r="G406" i="38" s="1"/>
  <c r="G419" i="38" s="1"/>
  <c r="G415" i="38"/>
  <c r="I325" i="40"/>
  <c r="I326" i="40" s="1"/>
  <c r="I365" i="40" s="1"/>
  <c r="H87" i="40"/>
  <c r="I76" i="40"/>
  <c r="G55" i="33"/>
  <c r="S95" i="40"/>
  <c r="R96" i="40"/>
  <c r="Z11" i="35"/>
  <c r="AD11" i="35" s="1"/>
  <c r="AE11" i="35" s="1"/>
  <c r="AF11" i="35" s="1"/>
  <c r="H433" i="38"/>
  <c r="H405" i="38" s="1"/>
  <c r="H418" i="38" s="1"/>
  <c r="I55" i="40"/>
  <c r="H66" i="40"/>
  <c r="I39" i="31"/>
  <c r="AN39" i="31" s="1"/>
  <c r="AN44" i="31" s="1"/>
  <c r="H130" i="39"/>
  <c r="AN15" i="31"/>
  <c r="H66" i="41"/>
  <c r="I55" i="41"/>
  <c r="P24" i="43"/>
  <c r="H1" i="42"/>
  <c r="I2" i="42"/>
  <c r="H47" i="42"/>
  <c r="R29" i="32"/>
  <c r="P77" i="48"/>
  <c r="AI51" i="32"/>
  <c r="H39" i="32"/>
  <c r="G29" i="32"/>
  <c r="H108" i="41"/>
  <c r="I97" i="41"/>
  <c r="I168" i="41"/>
  <c r="G27" i="48"/>
  <c r="O167" i="40"/>
  <c r="P166" i="40"/>
  <c r="F433" i="40"/>
  <c r="F418" i="40"/>
  <c r="AY15" i="31"/>
  <c r="J39" i="31"/>
  <c r="AY39" i="31" s="1"/>
  <c r="AY44" i="31" s="1"/>
  <c r="H159" i="39"/>
  <c r="J12" i="35"/>
  <c r="N12" i="35" s="1"/>
  <c r="O12" i="35" s="1"/>
  <c r="P12" i="35" s="1"/>
  <c r="I211" i="41"/>
  <c r="P176" i="33"/>
  <c r="J20" i="32" s="1"/>
  <c r="P46" i="33"/>
  <c r="G325" i="38"/>
  <c r="G326" i="38" s="1"/>
  <c r="G365" i="38" s="1"/>
  <c r="P53" i="40"/>
  <c r="O54" i="40"/>
  <c r="F406" i="38"/>
  <c r="F419" i="38" s="1"/>
  <c r="AM26" i="31"/>
  <c r="AM78" i="31"/>
  <c r="AM73" i="31"/>
  <c r="AM66" i="31"/>
  <c r="AM48" i="31"/>
  <c r="AM33" i="31"/>
  <c r="H83" i="33"/>
  <c r="G325" i="41"/>
  <c r="G326" i="41" s="1"/>
  <c r="G365" i="41" s="1"/>
  <c r="S1" i="43"/>
  <c r="R4" i="43"/>
  <c r="R2" i="43"/>
  <c r="I357" i="38"/>
  <c r="J338" i="38"/>
  <c r="J273" i="38"/>
  <c r="F22" i="48"/>
  <c r="F55" i="33"/>
  <c r="F54" i="33"/>
  <c r="F56" i="33"/>
  <c r="J35" i="31"/>
  <c r="H155" i="39"/>
  <c r="AU11" i="31"/>
  <c r="G11" i="31"/>
  <c r="AN4" i="31"/>
  <c r="AN22" i="31" s="1"/>
  <c r="AO3" i="31"/>
  <c r="F325" i="40"/>
  <c r="F326" i="40" s="1"/>
  <c r="F365" i="40" s="1"/>
  <c r="H82" i="33"/>
  <c r="J433" i="40"/>
  <c r="J405" i="40" s="1"/>
  <c r="J418" i="40" s="1"/>
  <c r="I12" i="31"/>
  <c r="M35" i="33"/>
  <c r="E20" i="35"/>
  <c r="AJ51" i="32"/>
  <c r="R77" i="48"/>
  <c r="S29" i="32"/>
  <c r="I39" i="32"/>
  <c r="L96" i="41"/>
  <c r="M95" i="41"/>
  <c r="I273" i="38"/>
  <c r="L288" i="41" l="1"/>
  <c r="L332" i="41" s="1"/>
  <c r="L287" i="41"/>
  <c r="L331" i="41" s="1"/>
  <c r="L286" i="41"/>
  <c r="L330" i="41" s="1"/>
  <c r="L291" i="41"/>
  <c r="L335" i="41" s="1"/>
  <c r="L290" i="41"/>
  <c r="L334" i="41" s="1"/>
  <c r="M284" i="41"/>
  <c r="L289" i="41"/>
  <c r="L285" i="41"/>
  <c r="J326" i="38"/>
  <c r="J365" i="38" s="1"/>
  <c r="L120" i="38"/>
  <c r="K329" i="41"/>
  <c r="K336" i="41" s="1"/>
  <c r="K292" i="41"/>
  <c r="J328" i="38"/>
  <c r="K294" i="38"/>
  <c r="J317" i="38"/>
  <c r="J323" i="38"/>
  <c r="G393" i="40"/>
  <c r="G378" i="40"/>
  <c r="L329" i="40"/>
  <c r="L336" i="40" s="1"/>
  <c r="L292" i="40"/>
  <c r="I228" i="41"/>
  <c r="M117" i="38"/>
  <c r="N116" i="38"/>
  <c r="H176" i="38"/>
  <c r="H177" i="38" s="1"/>
  <c r="H186" i="38" s="1"/>
  <c r="O166" i="41"/>
  <c r="N167" i="41"/>
  <c r="N284" i="40"/>
  <c r="M291" i="40"/>
  <c r="M335" i="40" s="1"/>
  <c r="M285" i="40"/>
  <c r="M286" i="40"/>
  <c r="M330" i="40" s="1"/>
  <c r="M289" i="40"/>
  <c r="M290" i="40"/>
  <c r="M334" i="40" s="1"/>
  <c r="M287" i="40"/>
  <c r="M331" i="40" s="1"/>
  <c r="M288" i="40"/>
  <c r="M332" i="40" s="1"/>
  <c r="K97" i="38"/>
  <c r="K108" i="38" s="1"/>
  <c r="S234" i="41"/>
  <c r="R235" i="41"/>
  <c r="M75" i="38"/>
  <c r="N74" i="38"/>
  <c r="N31" i="38"/>
  <c r="N32" i="38" s="1"/>
  <c r="O30" i="38"/>
  <c r="I415" i="40"/>
  <c r="I434" i="40"/>
  <c r="I406" i="40" s="1"/>
  <c r="I419" i="40" s="1"/>
  <c r="I414" i="40"/>
  <c r="I425" i="40"/>
  <c r="K228" i="40"/>
  <c r="J394" i="40"/>
  <c r="J366" i="40" s="1"/>
  <c r="J379" i="40" s="1"/>
  <c r="J397" i="40"/>
  <c r="J385" i="40"/>
  <c r="L338" i="40"/>
  <c r="K357" i="40"/>
  <c r="C16" i="35"/>
  <c r="C17" i="35" s="1"/>
  <c r="C18" i="35" s="1"/>
  <c r="C19" i="35" s="1"/>
  <c r="C20" i="35" s="1"/>
  <c r="C21" i="35" s="1"/>
  <c r="C22" i="35" s="1"/>
  <c r="C23" i="35" s="1"/>
  <c r="C24" i="35" s="1"/>
  <c r="C25" i="35" s="1"/>
  <c r="C26" i="35" s="1"/>
  <c r="C27" i="35" s="1"/>
  <c r="I58" i="38"/>
  <c r="I239" i="38"/>
  <c r="I175" i="38"/>
  <c r="I100" i="38"/>
  <c r="I171" i="38"/>
  <c r="I173" i="38" s="1"/>
  <c r="I79" i="38"/>
  <c r="L158" i="40"/>
  <c r="L155" i="40"/>
  <c r="L157" i="40" s="1"/>
  <c r="L270" i="40"/>
  <c r="L227" i="40"/>
  <c r="L272" i="40"/>
  <c r="L225" i="40"/>
  <c r="L257" i="40"/>
  <c r="L265" i="40" s="1"/>
  <c r="L212" i="40"/>
  <c r="L220" i="40" s="1"/>
  <c r="L156" i="40"/>
  <c r="M140" i="40"/>
  <c r="L142" i="40"/>
  <c r="L150" i="40" s="1"/>
  <c r="K157" i="38"/>
  <c r="K159" i="38" s="1"/>
  <c r="J87" i="41"/>
  <c r="I271" i="41"/>
  <c r="I324" i="41"/>
  <c r="K75" i="41"/>
  <c r="K76" i="41" s="1"/>
  <c r="L74" i="41"/>
  <c r="J176" i="40"/>
  <c r="K7" i="38"/>
  <c r="J3" i="38"/>
  <c r="J2" i="38"/>
  <c r="J6" i="38"/>
  <c r="K157" i="40"/>
  <c r="K159" i="40" s="1"/>
  <c r="L158" i="38"/>
  <c r="L156" i="38"/>
  <c r="L155" i="38"/>
  <c r="L212" i="38"/>
  <c r="L220" i="38" s="1"/>
  <c r="M140" i="38"/>
  <c r="L142" i="38"/>
  <c r="L150" i="38" s="1"/>
  <c r="L257" i="38"/>
  <c r="L265" i="38" s="1"/>
  <c r="L272" i="38"/>
  <c r="L270" i="38"/>
  <c r="L225" i="38"/>
  <c r="L226" i="38" s="1"/>
  <c r="L227" i="38"/>
  <c r="J257" i="41"/>
  <c r="J265" i="41" s="1"/>
  <c r="J212" i="41"/>
  <c r="J220" i="41" s="1"/>
  <c r="J142" i="41"/>
  <c r="J150" i="41" s="1"/>
  <c r="J156" i="41"/>
  <c r="K140" i="41"/>
  <c r="J270" i="41"/>
  <c r="J155" i="41"/>
  <c r="J158" i="41"/>
  <c r="J272" i="41"/>
  <c r="J225" i="41"/>
  <c r="J226" i="41" s="1"/>
  <c r="J227" i="41"/>
  <c r="K247" i="41"/>
  <c r="L236" i="41"/>
  <c r="K271" i="38"/>
  <c r="K273" i="38" s="1"/>
  <c r="K324" i="38"/>
  <c r="H261" i="41"/>
  <c r="H262" i="41" s="1"/>
  <c r="I256" i="41"/>
  <c r="K324" i="40"/>
  <c r="K271" i="40"/>
  <c r="S95" i="38"/>
  <c r="R96" i="38"/>
  <c r="K226" i="38"/>
  <c r="I66" i="38"/>
  <c r="I247" i="38"/>
  <c r="O116" i="40"/>
  <c r="N117" i="40"/>
  <c r="M338" i="41"/>
  <c r="L357" i="41"/>
  <c r="L8" i="40"/>
  <c r="L3" i="40"/>
  <c r="L6" i="40"/>
  <c r="M7" i="40"/>
  <c r="L2" i="40"/>
  <c r="L323" i="41"/>
  <c r="L328" i="41"/>
  <c r="L317" i="41"/>
  <c r="M294" i="41"/>
  <c r="L76" i="38"/>
  <c r="K87" i="38"/>
  <c r="L292" i="38"/>
  <c r="L329" i="38"/>
  <c r="L336" i="38" s="1"/>
  <c r="AG18" i="35"/>
  <c r="AH17" i="35"/>
  <c r="N166" i="38"/>
  <c r="M167" i="38"/>
  <c r="M288" i="38"/>
  <c r="M332" i="38" s="1"/>
  <c r="M291" i="38"/>
  <c r="M335" i="38" s="1"/>
  <c r="M287" i="38"/>
  <c r="M331" i="38" s="1"/>
  <c r="M286" i="38"/>
  <c r="M330" i="38" s="1"/>
  <c r="M285" i="38"/>
  <c r="M290" i="38"/>
  <c r="M334" i="38" s="1"/>
  <c r="M289" i="38"/>
  <c r="N284" i="38"/>
  <c r="R294" i="40"/>
  <c r="Q317" i="40"/>
  <c r="Q328" i="40"/>
  <c r="Q323" i="40"/>
  <c r="K168" i="38"/>
  <c r="P30" i="40"/>
  <c r="O31" i="40"/>
  <c r="C28" i="35"/>
  <c r="B29" i="35"/>
  <c r="N234" i="40"/>
  <c r="M235" i="40"/>
  <c r="O46" i="33"/>
  <c r="J434" i="41"/>
  <c r="J406" i="41" s="1"/>
  <c r="J419" i="41" s="1"/>
  <c r="J415" i="41"/>
  <c r="J414" i="41"/>
  <c r="J425" i="41"/>
  <c r="J54" i="38"/>
  <c r="J55" i="38" s="1"/>
  <c r="K53" i="38"/>
  <c r="K171" i="40"/>
  <c r="K173" i="40" s="1"/>
  <c r="K58" i="40"/>
  <c r="K100" i="40"/>
  <c r="K239" i="40"/>
  <c r="K175" i="40"/>
  <c r="K79" i="40"/>
  <c r="L53" i="41"/>
  <c r="K54" i="41"/>
  <c r="N116" i="41"/>
  <c r="M117" i="41"/>
  <c r="K397" i="41"/>
  <c r="K375" i="41"/>
  <c r="K394" i="41"/>
  <c r="K366" i="41" s="1"/>
  <c r="K379" i="41" s="1"/>
  <c r="K374" i="41"/>
  <c r="J235" i="38"/>
  <c r="J236" i="38" s="1"/>
  <c r="K234" i="38"/>
  <c r="I176" i="41"/>
  <c r="I177" i="41" s="1"/>
  <c r="F393" i="40"/>
  <c r="F378" i="40"/>
  <c r="I393" i="38"/>
  <c r="I378" i="38"/>
  <c r="J378" i="40"/>
  <c r="J393" i="40"/>
  <c r="I393" i="40"/>
  <c r="I378" i="40"/>
  <c r="G378" i="41"/>
  <c r="G393" i="41"/>
  <c r="G378" i="38"/>
  <c r="G393" i="38"/>
  <c r="J171" i="41"/>
  <c r="J173" i="41" s="1"/>
  <c r="J175" i="41"/>
  <c r="J79" i="41"/>
  <c r="J58" i="41"/>
  <c r="J100" i="41"/>
  <c r="J239" i="41"/>
  <c r="L359" i="41"/>
  <c r="K371" i="41"/>
  <c r="Y55" i="32"/>
  <c r="G126" i="39"/>
  <c r="G134" i="39" s="1"/>
  <c r="S22" i="32"/>
  <c r="R71" i="48"/>
  <c r="G286" i="40"/>
  <c r="G330" i="40" s="1"/>
  <c r="H286" i="40"/>
  <c r="H330" i="40" s="1"/>
  <c r="H39" i="31"/>
  <c r="AC15" i="31"/>
  <c r="H101" i="39"/>
  <c r="G15" i="31"/>
  <c r="AB38" i="31"/>
  <c r="AB44" i="31" s="1"/>
  <c r="G38" i="31"/>
  <c r="H393" i="40"/>
  <c r="H378" i="40"/>
  <c r="J357" i="38"/>
  <c r="K338" i="38"/>
  <c r="P23" i="33"/>
  <c r="P31" i="33" s="1"/>
  <c r="J31" i="41"/>
  <c r="I31" i="41"/>
  <c r="M12" i="35"/>
  <c r="I108" i="41"/>
  <c r="J97" i="41"/>
  <c r="P98" i="48"/>
  <c r="J55" i="41"/>
  <c r="I66" i="41"/>
  <c r="T95" i="40"/>
  <c r="S96" i="40"/>
  <c r="H131" i="39"/>
  <c r="I40" i="31"/>
  <c r="AO40" i="31" s="1"/>
  <c r="AO44" i="31" s="1"/>
  <c r="AO16" i="31"/>
  <c r="I247" i="40"/>
  <c r="J236" i="40"/>
  <c r="Z12" i="35"/>
  <c r="AD12" i="35" s="1"/>
  <c r="AE12" i="35" s="1"/>
  <c r="AF12" i="35" s="1"/>
  <c r="F286" i="38"/>
  <c r="P58" i="48"/>
  <c r="W411" i="38"/>
  <c r="X399" i="38"/>
  <c r="W419" i="38"/>
  <c r="F128" i="28"/>
  <c r="F131" i="28" s="1"/>
  <c r="J25" i="45"/>
  <c r="I397" i="38"/>
  <c r="I391" i="38"/>
  <c r="I394" i="38"/>
  <c r="I374" i="38"/>
  <c r="I375" i="38"/>
  <c r="I385" i="38"/>
  <c r="O22" i="33"/>
  <c r="I8" i="40"/>
  <c r="J8" i="40"/>
  <c r="R17" i="35"/>
  <c r="S16" i="35"/>
  <c r="F405" i="41"/>
  <c r="J9" i="41"/>
  <c r="M39" i="33"/>
  <c r="H16" i="31"/>
  <c r="AB13" i="35"/>
  <c r="T14" i="35"/>
  <c r="H40" i="32"/>
  <c r="P78" i="48"/>
  <c r="R30" i="32"/>
  <c r="AI52" i="32"/>
  <c r="K6" i="41"/>
  <c r="K3" i="41"/>
  <c r="K8" i="41"/>
  <c r="K2" i="41"/>
  <c r="L7" i="41"/>
  <c r="J31" i="31"/>
  <c r="G29" i="31"/>
  <c r="R75" i="40"/>
  <c r="S74" i="40"/>
  <c r="Q24" i="43"/>
  <c r="H85" i="33"/>
  <c r="H86" i="33"/>
  <c r="J433" i="38"/>
  <c r="J405" i="38" s="1"/>
  <c r="J418" i="38" s="1"/>
  <c r="H186" i="41"/>
  <c r="AK12" i="31"/>
  <c r="H127" i="39"/>
  <c r="I36" i="31"/>
  <c r="G12" i="31"/>
  <c r="AO4" i="31"/>
  <c r="AO22" i="31" s="1"/>
  <c r="AP3" i="31"/>
  <c r="M96" i="41"/>
  <c r="N95" i="41"/>
  <c r="AN33" i="31"/>
  <c r="AN73" i="31"/>
  <c r="AN66" i="31"/>
  <c r="AN48" i="31"/>
  <c r="AN78" i="31"/>
  <c r="AN26" i="31"/>
  <c r="J378" i="38"/>
  <c r="J393" i="38"/>
  <c r="R7" i="43"/>
  <c r="R18" i="43"/>
  <c r="R21" i="43"/>
  <c r="R10" i="43"/>
  <c r="R14" i="43"/>
  <c r="R15" i="43"/>
  <c r="R8" i="43"/>
  <c r="R20" i="43"/>
  <c r="R16" i="43"/>
  <c r="R6" i="43"/>
  <c r="R22" i="43"/>
  <c r="R13" i="43"/>
  <c r="R17" i="43"/>
  <c r="R11" i="43"/>
  <c r="R12" i="43"/>
  <c r="R19" i="43"/>
  <c r="R9" i="43"/>
  <c r="Q53" i="40"/>
  <c r="P54" i="40"/>
  <c r="F405" i="40"/>
  <c r="H378" i="41"/>
  <c r="H393" i="41"/>
  <c r="G57" i="33"/>
  <c r="G58" i="33"/>
  <c r="G73" i="33"/>
  <c r="G18" i="48" s="1"/>
  <c r="E18" i="48" s="1"/>
  <c r="AV34" i="43"/>
  <c r="AQ12" i="35"/>
  <c r="AI13" i="35"/>
  <c r="K411" i="41"/>
  <c r="L399" i="41"/>
  <c r="J97" i="40"/>
  <c r="I108" i="40"/>
  <c r="Q26" i="43"/>
  <c r="Q23" i="43"/>
  <c r="F405" i="38"/>
  <c r="M120" i="38"/>
  <c r="J168" i="41"/>
  <c r="J55" i="40"/>
  <c r="I66" i="40"/>
  <c r="F329" i="38"/>
  <c r="I4" i="47"/>
  <c r="I5" i="47"/>
  <c r="J3" i="47"/>
  <c r="I6" i="47"/>
  <c r="G69" i="33"/>
  <c r="G17" i="48" s="1"/>
  <c r="E17" i="48" s="1"/>
  <c r="AT34" i="43"/>
  <c r="AO11" i="35"/>
  <c r="AS11" i="35" s="1"/>
  <c r="AT11" i="35" s="1"/>
  <c r="AU11" i="35" s="1"/>
  <c r="F330" i="40"/>
  <c r="H393" i="38"/>
  <c r="H378" i="38"/>
  <c r="AU35" i="31"/>
  <c r="AU44" i="31" s="1"/>
  <c r="G35" i="31"/>
  <c r="F58" i="33"/>
  <c r="E74" i="48" s="1"/>
  <c r="E54" i="33"/>
  <c r="F57" i="33"/>
  <c r="F74" i="48" s="1"/>
  <c r="S2" i="43"/>
  <c r="S4" i="43"/>
  <c r="T1" i="43"/>
  <c r="F378" i="41"/>
  <c r="F393" i="41"/>
  <c r="AH51" i="32"/>
  <c r="AC11" i="35"/>
  <c r="J76" i="40"/>
  <c r="I87" i="40"/>
  <c r="K120" i="41"/>
  <c r="L371" i="40"/>
  <c r="M359" i="40"/>
  <c r="M11" i="35"/>
  <c r="G61" i="33"/>
  <c r="AP34" i="43"/>
  <c r="H186" i="40"/>
  <c r="Q25" i="43"/>
  <c r="G285" i="40"/>
  <c r="H285" i="40"/>
  <c r="I8" i="38"/>
  <c r="N22" i="33"/>
  <c r="E55" i="33"/>
  <c r="J8" i="38"/>
  <c r="Q166" i="40"/>
  <c r="P167" i="40"/>
  <c r="H285" i="38"/>
  <c r="G285" i="38"/>
  <c r="G39" i="32"/>
  <c r="G206" i="33"/>
  <c r="E203" i="33"/>
  <c r="AY31" i="43"/>
  <c r="AY34" i="43" s="1"/>
  <c r="G77" i="33"/>
  <c r="G19" i="48" s="1"/>
  <c r="E19" i="48" s="1"/>
  <c r="AX34" i="43"/>
  <c r="F285" i="41"/>
  <c r="T57" i="48"/>
  <c r="H71" i="39"/>
  <c r="P14" i="31"/>
  <c r="H68" i="39"/>
  <c r="M11" i="31"/>
  <c r="T71" i="48"/>
  <c r="G155" i="39"/>
  <c r="G163" i="39" s="1"/>
  <c r="T22" i="32"/>
  <c r="Z55" i="32"/>
  <c r="O29" i="33"/>
  <c r="M29" i="33" s="1"/>
  <c r="J117" i="40"/>
  <c r="I117" i="40"/>
  <c r="E204" i="33"/>
  <c r="N40" i="33"/>
  <c r="R28" i="33"/>
  <c r="S28" i="33" s="1"/>
  <c r="P40" i="33"/>
  <c r="O40" i="33"/>
  <c r="Q41" i="33"/>
  <c r="E56" i="33"/>
  <c r="N176" i="33"/>
  <c r="H20" i="32" s="1"/>
  <c r="N46" i="33"/>
  <c r="E21" i="35"/>
  <c r="D20" i="35"/>
  <c r="L20" i="35" s="1"/>
  <c r="R98" i="48"/>
  <c r="E22" i="48"/>
  <c r="E27" i="48" s="1"/>
  <c r="F27" i="48"/>
  <c r="I47" i="42"/>
  <c r="I1" i="42"/>
  <c r="J2" i="42"/>
  <c r="G57" i="48"/>
  <c r="E55" i="48"/>
  <c r="E57" i="48" s="1"/>
  <c r="H160" i="39"/>
  <c r="J40" i="31"/>
  <c r="AZ40" i="31" s="1"/>
  <c r="AZ44" i="31" s="1"/>
  <c r="AZ16" i="31"/>
  <c r="H425" i="38"/>
  <c r="H434" i="38"/>
  <c r="H414" i="38"/>
  <c r="H415" i="38"/>
  <c r="G65" i="33"/>
  <c r="G16" i="48" s="1"/>
  <c r="E16" i="48" s="1"/>
  <c r="AR34" i="43"/>
  <c r="F393" i="38"/>
  <c r="F378" i="38"/>
  <c r="J168" i="40"/>
  <c r="I177" i="40"/>
  <c r="T29" i="32"/>
  <c r="AK51" i="32"/>
  <c r="T77" i="48"/>
  <c r="J39" i="32"/>
  <c r="Q30" i="41"/>
  <c r="P31" i="41"/>
  <c r="F329" i="40"/>
  <c r="M289" i="41" l="1"/>
  <c r="M290" i="41"/>
  <c r="M334" i="41" s="1"/>
  <c r="M288" i="41"/>
  <c r="M332" i="41" s="1"/>
  <c r="M285" i="41"/>
  <c r="M286" i="41"/>
  <c r="M330" i="41" s="1"/>
  <c r="M287" i="41"/>
  <c r="M331" i="41" s="1"/>
  <c r="M291" i="41"/>
  <c r="M335" i="41" s="1"/>
  <c r="N284" i="41"/>
  <c r="L292" i="41"/>
  <c r="L329" i="41"/>
  <c r="L336" i="41" s="1"/>
  <c r="L97" i="38"/>
  <c r="K323" i="38"/>
  <c r="K328" i="38"/>
  <c r="K317" i="38"/>
  <c r="L294" i="38"/>
  <c r="L159" i="40"/>
  <c r="O167" i="41"/>
  <c r="P166" i="41"/>
  <c r="O74" i="38"/>
  <c r="N75" i="38"/>
  <c r="N117" i="38"/>
  <c r="N120" i="38" s="1"/>
  <c r="O116" i="38"/>
  <c r="M292" i="40"/>
  <c r="M329" i="40"/>
  <c r="M336" i="40" s="1"/>
  <c r="S235" i="41"/>
  <c r="T234" i="41"/>
  <c r="N291" i="40"/>
  <c r="N335" i="40" s="1"/>
  <c r="N288" i="40"/>
  <c r="N332" i="40" s="1"/>
  <c r="N287" i="40"/>
  <c r="N331" i="40" s="1"/>
  <c r="N290" i="40"/>
  <c r="N334" i="40" s="1"/>
  <c r="N289" i="40"/>
  <c r="N286" i="40"/>
  <c r="N330" i="40" s="1"/>
  <c r="N285" i="40"/>
  <c r="O284" i="40"/>
  <c r="K325" i="38"/>
  <c r="K326" i="38" s="1"/>
  <c r="K365" i="38" s="1"/>
  <c r="K176" i="40"/>
  <c r="K394" i="40"/>
  <c r="K366" i="40" s="1"/>
  <c r="K379" i="40" s="1"/>
  <c r="K397" i="40"/>
  <c r="K375" i="40"/>
  <c r="K374" i="40"/>
  <c r="K325" i="40"/>
  <c r="K326" i="40" s="1"/>
  <c r="K365" i="40" s="1"/>
  <c r="M338" i="40"/>
  <c r="L357" i="40"/>
  <c r="O31" i="38"/>
  <c r="O32" i="38" s="1"/>
  <c r="P30" i="38"/>
  <c r="J425" i="40"/>
  <c r="J434" i="40"/>
  <c r="J406" i="40" s="1"/>
  <c r="J419" i="40" s="1"/>
  <c r="K87" i="41"/>
  <c r="J228" i="41"/>
  <c r="M156" i="38"/>
  <c r="M155" i="38"/>
  <c r="M157" i="38" s="1"/>
  <c r="M270" i="38"/>
  <c r="M142" i="38"/>
  <c r="M150" i="38" s="1"/>
  <c r="M272" i="38"/>
  <c r="M158" i="38"/>
  <c r="M257" i="38"/>
  <c r="M265" i="38" s="1"/>
  <c r="N140" i="38"/>
  <c r="M212" i="38"/>
  <c r="M220" i="38" s="1"/>
  <c r="M227" i="38"/>
  <c r="M225" i="38"/>
  <c r="J239" i="38"/>
  <c r="J100" i="38"/>
  <c r="J171" i="38"/>
  <c r="J173" i="38" s="1"/>
  <c r="J58" i="38"/>
  <c r="J175" i="38"/>
  <c r="J79" i="38"/>
  <c r="K273" i="40"/>
  <c r="K433" i="40" s="1"/>
  <c r="K405" i="40" s="1"/>
  <c r="K418" i="40" s="1"/>
  <c r="L247" i="41"/>
  <c r="M236" i="41"/>
  <c r="L157" i="38"/>
  <c r="L159" i="38" s="1"/>
  <c r="K8" i="38"/>
  <c r="K3" i="38"/>
  <c r="L7" i="38"/>
  <c r="K6" i="38"/>
  <c r="K2" i="38"/>
  <c r="I273" i="41"/>
  <c r="I325" i="41"/>
  <c r="I326" i="41" s="1"/>
  <c r="I365" i="41" s="1"/>
  <c r="K228" i="38"/>
  <c r="K433" i="38" s="1"/>
  <c r="K405" i="38" s="1"/>
  <c r="K418" i="38" s="1"/>
  <c r="J157" i="41"/>
  <c r="J159" i="41" s="1"/>
  <c r="L228" i="38"/>
  <c r="L226" i="40"/>
  <c r="L228" i="40" s="1"/>
  <c r="N140" i="40"/>
  <c r="M225" i="40"/>
  <c r="M226" i="40" s="1"/>
  <c r="M257" i="40"/>
  <c r="M265" i="40" s="1"/>
  <c r="M212" i="40"/>
  <c r="M220" i="40" s="1"/>
  <c r="M272" i="40"/>
  <c r="M155" i="40"/>
  <c r="M157" i="40" s="1"/>
  <c r="M227" i="40"/>
  <c r="M142" i="40"/>
  <c r="M150" i="40" s="1"/>
  <c r="M158" i="40"/>
  <c r="M156" i="40"/>
  <c r="M270" i="40"/>
  <c r="J324" i="41"/>
  <c r="J271" i="41"/>
  <c r="L271" i="38"/>
  <c r="L273" i="38" s="1"/>
  <c r="L324" i="38"/>
  <c r="L75" i="41"/>
  <c r="L76" i="41" s="1"/>
  <c r="L87" i="41" s="1"/>
  <c r="M74" i="41"/>
  <c r="I176" i="38"/>
  <c r="I177" i="38" s="1"/>
  <c r="I186" i="38" s="1"/>
  <c r="L140" i="41"/>
  <c r="K155" i="41"/>
  <c r="K257" i="41"/>
  <c r="K265" i="41" s="1"/>
  <c r="K212" i="41"/>
  <c r="K220" i="41" s="1"/>
  <c r="K227" i="41"/>
  <c r="K156" i="41"/>
  <c r="K142" i="41"/>
  <c r="K150" i="41" s="1"/>
  <c r="K270" i="41"/>
  <c r="K225" i="41"/>
  <c r="K226" i="41" s="1"/>
  <c r="K158" i="41"/>
  <c r="K272" i="41"/>
  <c r="S96" i="38"/>
  <c r="T95" i="38"/>
  <c r="L271" i="40"/>
  <c r="L324" i="40"/>
  <c r="J247" i="38"/>
  <c r="J66" i="38"/>
  <c r="M76" i="38"/>
  <c r="L87" i="38"/>
  <c r="M3" i="40"/>
  <c r="M6" i="40"/>
  <c r="N7" i="40"/>
  <c r="M8" i="40"/>
  <c r="M2" i="40"/>
  <c r="M46" i="33"/>
  <c r="L168" i="38"/>
  <c r="AG19" i="35"/>
  <c r="AH18" i="35"/>
  <c r="N288" i="38"/>
  <c r="N332" i="38" s="1"/>
  <c r="N291" i="38"/>
  <c r="N335" i="38" s="1"/>
  <c r="N289" i="38"/>
  <c r="N287" i="38"/>
  <c r="N331" i="38" s="1"/>
  <c r="N290" i="38"/>
  <c r="N334" i="38" s="1"/>
  <c r="N286" i="38"/>
  <c r="N330" i="38" s="1"/>
  <c r="N285" i="38"/>
  <c r="O284" i="38"/>
  <c r="E206" i="33"/>
  <c r="K434" i="41"/>
  <c r="K406" i="41" s="1"/>
  <c r="K419" i="41" s="1"/>
  <c r="K414" i="41"/>
  <c r="K415" i="41"/>
  <c r="M317" i="41"/>
  <c r="M328" i="41"/>
  <c r="M323" i="41"/>
  <c r="N294" i="41"/>
  <c r="O234" i="40"/>
  <c r="N235" i="40"/>
  <c r="M329" i="38"/>
  <c r="M336" i="38" s="1"/>
  <c r="M292" i="38"/>
  <c r="C29" i="35"/>
  <c r="B30" i="35"/>
  <c r="L397" i="41"/>
  <c r="L375" i="41"/>
  <c r="L374" i="41"/>
  <c r="O117" i="40"/>
  <c r="P116" i="40"/>
  <c r="L234" i="38"/>
  <c r="K235" i="38"/>
  <c r="K236" i="38" s="1"/>
  <c r="O116" i="41"/>
  <c r="N117" i="41"/>
  <c r="M357" i="41"/>
  <c r="N338" i="41"/>
  <c r="AR11" i="35"/>
  <c r="L53" i="38"/>
  <c r="K54" i="38"/>
  <c r="K55" i="38" s="1"/>
  <c r="M53" i="41"/>
  <c r="L54" i="41"/>
  <c r="Q30" i="40"/>
  <c r="P31" i="40"/>
  <c r="R328" i="40"/>
  <c r="R317" i="40"/>
  <c r="R323" i="40"/>
  <c r="S294" i="40"/>
  <c r="O166" i="38"/>
  <c r="N167" i="38"/>
  <c r="L171" i="40"/>
  <c r="L173" i="40" s="1"/>
  <c r="L175" i="40"/>
  <c r="L58" i="40"/>
  <c r="L100" i="40"/>
  <c r="L79" i="40"/>
  <c r="L239" i="40"/>
  <c r="J176" i="41"/>
  <c r="J177" i="41" s="1"/>
  <c r="K9" i="41"/>
  <c r="I9" i="38"/>
  <c r="S14" i="43"/>
  <c r="W14" i="43" s="1"/>
  <c r="S9" i="43"/>
  <c r="W9" i="43" s="1"/>
  <c r="S6" i="43"/>
  <c r="S13" i="43"/>
  <c r="S18" i="43"/>
  <c r="S11" i="43"/>
  <c r="W11" i="43" s="1"/>
  <c r="S8" i="43"/>
  <c r="S7" i="43"/>
  <c r="W7" i="43" s="1"/>
  <c r="S16" i="43"/>
  <c r="W16" i="43" s="1"/>
  <c r="S10" i="43"/>
  <c r="W10" i="43" s="1"/>
  <c r="S19" i="43"/>
  <c r="W19" i="43" s="1"/>
  <c r="S17" i="43"/>
  <c r="W17" i="43" s="1"/>
  <c r="S12" i="43"/>
  <c r="W12" i="43" s="1"/>
  <c r="S20" i="43"/>
  <c r="W20" i="43" s="1"/>
  <c r="N180" i="33" s="1"/>
  <c r="N181" i="33" s="1"/>
  <c r="H22" i="32" s="1"/>
  <c r="S21" i="43"/>
  <c r="W21" i="43" s="1"/>
  <c r="S15" i="43"/>
  <c r="W15" i="43" s="1"/>
  <c r="S22" i="43"/>
  <c r="AO12" i="35"/>
  <c r="AS12" i="35" s="1"/>
  <c r="AT12" i="35" s="1"/>
  <c r="AU12" i="35" s="1"/>
  <c r="R25" i="43"/>
  <c r="AB14" i="35"/>
  <c r="T15" i="35"/>
  <c r="I366" i="38"/>
  <c r="I379" i="38" s="1"/>
  <c r="T96" i="40"/>
  <c r="U95" i="40"/>
  <c r="K97" i="41"/>
  <c r="J108" i="41"/>
  <c r="I186" i="40"/>
  <c r="O41" i="33"/>
  <c r="I18" i="31" s="1"/>
  <c r="R29" i="33"/>
  <c r="S29" i="33" s="1"/>
  <c r="N41" i="33"/>
  <c r="P41" i="33"/>
  <c r="J18" i="31" s="1"/>
  <c r="Q42" i="33"/>
  <c r="H406" i="38"/>
  <c r="H419" i="38" s="1"/>
  <c r="N120" i="33"/>
  <c r="P119" i="33"/>
  <c r="N119" i="33"/>
  <c r="P120" i="33"/>
  <c r="O119" i="33"/>
  <c r="O120" i="33"/>
  <c r="H17" i="31"/>
  <c r="M40" i="33"/>
  <c r="T92" i="48"/>
  <c r="AE55" i="32"/>
  <c r="Q167" i="40"/>
  <c r="R166" i="40"/>
  <c r="L120" i="41"/>
  <c r="J66" i="40"/>
  <c r="K55" i="40"/>
  <c r="AK36" i="31"/>
  <c r="AK44" i="31" s="1"/>
  <c r="G36" i="31"/>
  <c r="I431" i="38"/>
  <c r="F330" i="38"/>
  <c r="Q15" i="31"/>
  <c r="H72" i="39"/>
  <c r="K168" i="40"/>
  <c r="J177" i="40"/>
  <c r="J17" i="31"/>
  <c r="H329" i="38"/>
  <c r="K97" i="40"/>
  <c r="J108" i="40"/>
  <c r="R24" i="43"/>
  <c r="M359" i="41"/>
  <c r="L371" i="41"/>
  <c r="H285" i="41"/>
  <c r="G285" i="41"/>
  <c r="H329" i="40"/>
  <c r="I9" i="40"/>
  <c r="I425" i="38"/>
  <c r="I415" i="38"/>
  <c r="I414" i="38"/>
  <c r="I434" i="38"/>
  <c r="I406" i="38" s="1"/>
  <c r="I419" i="38" s="1"/>
  <c r="R92" i="48"/>
  <c r="AD55" i="32"/>
  <c r="F329" i="41"/>
  <c r="AI14" i="35"/>
  <c r="AQ13" i="35"/>
  <c r="K79" i="41"/>
  <c r="K175" i="41"/>
  <c r="K58" i="41"/>
  <c r="K171" i="41"/>
  <c r="K173" i="41" s="1"/>
  <c r="K100" i="41"/>
  <c r="K239" i="41"/>
  <c r="R30" i="41"/>
  <c r="Q31" i="41"/>
  <c r="E22" i="35"/>
  <c r="D21" i="35"/>
  <c r="L21" i="35" s="1"/>
  <c r="T98" i="48"/>
  <c r="I120" i="40"/>
  <c r="G329" i="40"/>
  <c r="G84" i="33"/>
  <c r="G15" i="48"/>
  <c r="G82" i="33"/>
  <c r="G83" i="33"/>
  <c r="E58" i="33"/>
  <c r="E57" i="33"/>
  <c r="R53" i="40"/>
  <c r="Q54" i="40"/>
  <c r="N96" i="41"/>
  <c r="O95" i="41"/>
  <c r="I186" i="41"/>
  <c r="G16" i="31"/>
  <c r="AD16" i="31"/>
  <c r="H40" i="31"/>
  <c r="H102" i="39"/>
  <c r="J66" i="41"/>
  <c r="K55" i="41"/>
  <c r="K357" i="38"/>
  <c r="L338" i="38"/>
  <c r="N31" i="33"/>
  <c r="M22" i="33"/>
  <c r="S22" i="33" s="1"/>
  <c r="G286" i="38"/>
  <c r="H286" i="38"/>
  <c r="X55" i="32"/>
  <c r="W55" i="32" s="1"/>
  <c r="G97" i="39"/>
  <c r="R22" i="32"/>
  <c r="P71" i="48"/>
  <c r="G20" i="32"/>
  <c r="K168" i="41"/>
  <c r="R26" i="43"/>
  <c r="R23" i="43"/>
  <c r="AQ3" i="31"/>
  <c r="AP4" i="31"/>
  <c r="AP22" i="31" s="1"/>
  <c r="R18" i="35"/>
  <c r="S17" i="35"/>
  <c r="Y399" i="38"/>
  <c r="X419" i="38"/>
  <c r="X411" i="38"/>
  <c r="AC12" i="35"/>
  <c r="J375" i="38"/>
  <c r="J397" i="38"/>
  <c r="J385" i="38"/>
  <c r="J374" i="38"/>
  <c r="J394" i="38"/>
  <c r="J366" i="38" s="1"/>
  <c r="J379" i="38" s="1"/>
  <c r="G39" i="31"/>
  <c r="AC39" i="31"/>
  <c r="AC44" i="31" s="1"/>
  <c r="AO26" i="31"/>
  <c r="AO66" i="31"/>
  <c r="AO33" i="31"/>
  <c r="AO48" i="31"/>
  <c r="AO73" i="31"/>
  <c r="AO78" i="31"/>
  <c r="T74" i="40"/>
  <c r="S75" i="40"/>
  <c r="J8" i="32"/>
  <c r="J30" i="32"/>
  <c r="G31" i="31"/>
  <c r="P99" i="48"/>
  <c r="Q29" i="32"/>
  <c r="J87" i="40"/>
  <c r="K76" i="40"/>
  <c r="M35" i="31"/>
  <c r="M44" i="31" s="1"/>
  <c r="L411" i="41"/>
  <c r="M399" i="41"/>
  <c r="K2" i="42"/>
  <c r="J1" i="42"/>
  <c r="J47" i="42"/>
  <c r="I17" i="31"/>
  <c r="G329" i="38"/>
  <c r="N359" i="40"/>
  <c r="M371" i="40"/>
  <c r="T2" i="43"/>
  <c r="U1" i="43"/>
  <c r="T4" i="43"/>
  <c r="J5" i="47"/>
  <c r="J4" i="47"/>
  <c r="K3" i="47"/>
  <c r="J6" i="47"/>
  <c r="N12" i="31"/>
  <c r="H69" i="39"/>
  <c r="L3" i="41"/>
  <c r="L6" i="41"/>
  <c r="L8" i="41"/>
  <c r="L2" i="41"/>
  <c r="M7" i="41"/>
  <c r="L108" i="38"/>
  <c r="M97" i="38"/>
  <c r="J247" i="40"/>
  <c r="K236" i="40"/>
  <c r="I32" i="41"/>
  <c r="P38" i="31"/>
  <c r="P44" i="31" s="1"/>
  <c r="N288" i="41" l="1"/>
  <c r="N332" i="41" s="1"/>
  <c r="N287" i="41"/>
  <c r="N331" i="41" s="1"/>
  <c r="N290" i="41"/>
  <c r="N334" i="41" s="1"/>
  <c r="N286" i="41"/>
  <c r="N330" i="41" s="1"/>
  <c r="N289" i="41"/>
  <c r="O284" i="41"/>
  <c r="N291" i="41"/>
  <c r="N335" i="41" s="1"/>
  <c r="N285" i="41"/>
  <c r="M329" i="41"/>
  <c r="M336" i="41" s="1"/>
  <c r="M292" i="41"/>
  <c r="L323" i="38"/>
  <c r="L328" i="38"/>
  <c r="M294" i="38"/>
  <c r="L317" i="38"/>
  <c r="O117" i="38"/>
  <c r="O120" i="38" s="1"/>
  <c r="P116" i="38"/>
  <c r="O75" i="38"/>
  <c r="P74" i="38"/>
  <c r="O289" i="40"/>
  <c r="O285" i="40"/>
  <c r="O291" i="40"/>
  <c r="O335" i="40" s="1"/>
  <c r="P284" i="40"/>
  <c r="O290" i="40"/>
  <c r="O334" i="40" s="1"/>
  <c r="O288" i="40"/>
  <c r="O332" i="40" s="1"/>
  <c r="O286" i="40"/>
  <c r="O330" i="40" s="1"/>
  <c r="O287" i="40"/>
  <c r="O331" i="40" s="1"/>
  <c r="U234" i="41"/>
  <c r="T235" i="41"/>
  <c r="Q166" i="41"/>
  <c r="P167" i="41"/>
  <c r="N329" i="40"/>
  <c r="N336" i="40" s="1"/>
  <c r="N292" i="40"/>
  <c r="K378" i="38"/>
  <c r="K393" i="38"/>
  <c r="K415" i="40"/>
  <c r="K414" i="40"/>
  <c r="K434" i="40"/>
  <c r="K406" i="40" s="1"/>
  <c r="K419" i="40" s="1"/>
  <c r="P31" i="38"/>
  <c r="P32" i="38" s="1"/>
  <c r="Q30" i="38"/>
  <c r="L325" i="38"/>
  <c r="L326" i="38" s="1"/>
  <c r="L365" i="38" s="1"/>
  <c r="L393" i="38" s="1"/>
  <c r="M228" i="40"/>
  <c r="L375" i="40"/>
  <c r="L397" i="40"/>
  <c r="L374" i="40"/>
  <c r="L394" i="40"/>
  <c r="L366" i="40" s="1"/>
  <c r="L379" i="40" s="1"/>
  <c r="M357" i="40"/>
  <c r="N338" i="40"/>
  <c r="U95" i="38"/>
  <c r="T96" i="38"/>
  <c r="L433" i="38"/>
  <c r="L405" i="38" s="1"/>
  <c r="L418" i="38" s="1"/>
  <c r="K171" i="38"/>
  <c r="K173" i="38" s="1"/>
  <c r="K58" i="38"/>
  <c r="K239" i="38"/>
  <c r="K175" i="38"/>
  <c r="K100" i="38"/>
  <c r="K79" i="38"/>
  <c r="M226" i="38"/>
  <c r="M228" i="38" s="1"/>
  <c r="M324" i="38"/>
  <c r="M271" i="38"/>
  <c r="M273" i="38" s="1"/>
  <c r="M271" i="40"/>
  <c r="M324" i="40"/>
  <c r="M159" i="38"/>
  <c r="L3" i="38"/>
  <c r="L2" i="38"/>
  <c r="M7" i="38"/>
  <c r="L8" i="38"/>
  <c r="L6" i="38"/>
  <c r="K157" i="41"/>
  <c r="K159" i="41" s="1"/>
  <c r="J273" i="41"/>
  <c r="J433" i="41" s="1"/>
  <c r="J405" i="41" s="1"/>
  <c r="J418" i="41" s="1"/>
  <c r="J325" i="41"/>
  <c r="J326" i="41" s="1"/>
  <c r="J365" i="41" s="1"/>
  <c r="N212" i="40"/>
  <c r="N220" i="40" s="1"/>
  <c r="N142" i="40"/>
  <c r="N150" i="40" s="1"/>
  <c r="N156" i="40"/>
  <c r="N257" i="40"/>
  <c r="N265" i="40" s="1"/>
  <c r="O140" i="40"/>
  <c r="N212" i="38"/>
  <c r="N220" i="38" s="1"/>
  <c r="N272" i="38"/>
  <c r="N227" i="38"/>
  <c r="O140" i="38"/>
  <c r="N270" i="38"/>
  <c r="N225" i="38"/>
  <c r="N257" i="38"/>
  <c r="N265" i="38" s="1"/>
  <c r="N142" i="38"/>
  <c r="N150" i="38" s="1"/>
  <c r="N156" i="38"/>
  <c r="N158" i="38"/>
  <c r="N155" i="38"/>
  <c r="N157" i="38" s="1"/>
  <c r="K228" i="41"/>
  <c r="L156" i="41"/>
  <c r="L257" i="41"/>
  <c r="L265" i="41" s="1"/>
  <c r="L142" i="41"/>
  <c r="L150" i="41" s="1"/>
  <c r="L212" i="41"/>
  <c r="L220" i="41" s="1"/>
  <c r="M140" i="41"/>
  <c r="I378" i="41"/>
  <c r="I393" i="41"/>
  <c r="K393" i="40"/>
  <c r="K378" i="40"/>
  <c r="K271" i="41"/>
  <c r="K324" i="41"/>
  <c r="J176" i="38"/>
  <c r="J177" i="38" s="1"/>
  <c r="J186" i="38" s="1"/>
  <c r="L273" i="40"/>
  <c r="L433" i="40" s="1"/>
  <c r="L405" i="40" s="1"/>
  <c r="L418" i="40" s="1"/>
  <c r="L325" i="40"/>
  <c r="L326" i="40" s="1"/>
  <c r="L365" i="40" s="1"/>
  <c r="M75" i="41"/>
  <c r="M76" i="41" s="1"/>
  <c r="M87" i="41" s="1"/>
  <c r="N74" i="41"/>
  <c r="M159" i="40"/>
  <c r="N236" i="41"/>
  <c r="M247" i="41"/>
  <c r="K66" i="38"/>
  <c r="O338" i="41"/>
  <c r="N357" i="41"/>
  <c r="P116" i="41"/>
  <c r="O117" i="41"/>
  <c r="L415" i="41"/>
  <c r="L414" i="41"/>
  <c r="P234" i="40"/>
  <c r="O235" i="40"/>
  <c r="N53" i="41"/>
  <c r="M54" i="41"/>
  <c r="L176" i="40"/>
  <c r="R30" i="40"/>
  <c r="Q31" i="40"/>
  <c r="M397" i="41"/>
  <c r="M394" i="41"/>
  <c r="M366" i="41" s="1"/>
  <c r="M379" i="41" s="1"/>
  <c r="M374" i="41"/>
  <c r="M385" i="41"/>
  <c r="M390" i="41"/>
  <c r="M375" i="41"/>
  <c r="M391" i="41"/>
  <c r="M431" i="41" s="1"/>
  <c r="L235" i="38"/>
  <c r="L236" i="38" s="1"/>
  <c r="M234" i="38"/>
  <c r="N317" i="41"/>
  <c r="O294" i="41"/>
  <c r="N323" i="41"/>
  <c r="N328" i="41"/>
  <c r="P166" i="38"/>
  <c r="O167" i="38"/>
  <c r="AG20" i="35"/>
  <c r="AH19" i="35"/>
  <c r="M87" i="38"/>
  <c r="N76" i="38"/>
  <c r="S323" i="40"/>
  <c r="T294" i="40"/>
  <c r="S317" i="40"/>
  <c r="S328" i="40"/>
  <c r="M53" i="38"/>
  <c r="L54" i="38"/>
  <c r="L55" i="38" s="1"/>
  <c r="Q116" i="40"/>
  <c r="P117" i="40"/>
  <c r="O289" i="38"/>
  <c r="O288" i="38"/>
  <c r="O332" i="38" s="1"/>
  <c r="P284" i="38"/>
  <c r="O290" i="38"/>
  <c r="O334" i="38" s="1"/>
  <c r="O286" i="38"/>
  <c r="O330" i="38" s="1"/>
  <c r="O285" i="38"/>
  <c r="O291" i="38"/>
  <c r="O335" i="38" s="1"/>
  <c r="O287" i="38"/>
  <c r="O331" i="38" s="1"/>
  <c r="N2" i="40"/>
  <c r="N6" i="40"/>
  <c r="O7" i="40"/>
  <c r="N3" i="40"/>
  <c r="N8" i="40"/>
  <c r="B31" i="35"/>
  <c r="C30" i="35"/>
  <c r="N329" i="38"/>
  <c r="N336" i="38" s="1"/>
  <c r="N292" i="38"/>
  <c r="M168" i="38"/>
  <c r="M171" i="40"/>
  <c r="M173" i="40" s="1"/>
  <c r="M175" i="40"/>
  <c r="M239" i="40"/>
  <c r="M100" i="40"/>
  <c r="M58" i="40"/>
  <c r="M79" i="40"/>
  <c r="K247" i="38"/>
  <c r="O359" i="40"/>
  <c r="N371" i="40"/>
  <c r="S53" i="40"/>
  <c r="R54" i="40"/>
  <c r="M108" i="38"/>
  <c r="N97" i="38"/>
  <c r="L58" i="41"/>
  <c r="L171" i="41"/>
  <c r="L173" i="41" s="1"/>
  <c r="L239" i="41"/>
  <c r="L79" i="41"/>
  <c r="L100" i="41"/>
  <c r="L175" i="41"/>
  <c r="Q39" i="31"/>
  <c r="Q44" i="31" s="1"/>
  <c r="L55" i="41"/>
  <c r="K66" i="41"/>
  <c r="AD40" i="31"/>
  <c r="AD44" i="31" s="1"/>
  <c r="G40" i="31"/>
  <c r="G20" i="48"/>
  <c r="E15" i="48"/>
  <c r="E20" i="48" s="1"/>
  <c r="S30" i="41"/>
  <c r="R31" i="41"/>
  <c r="J186" i="41"/>
  <c r="L97" i="40"/>
  <c r="K108" i="40"/>
  <c r="L168" i="40"/>
  <c r="K177" i="40"/>
  <c r="S26" i="43"/>
  <c r="S23" i="43"/>
  <c r="W6" i="43"/>
  <c r="J425" i="38"/>
  <c r="J434" i="38"/>
  <c r="J406" i="38" s="1"/>
  <c r="J419" i="38" s="1"/>
  <c r="J415" i="38"/>
  <c r="J414" i="38"/>
  <c r="O23" i="33"/>
  <c r="J31" i="40"/>
  <c r="I31" i="40"/>
  <c r="E83" i="33"/>
  <c r="U74" i="40"/>
  <c r="T75" i="40"/>
  <c r="P95" i="41"/>
  <c r="O96" i="41"/>
  <c r="O47" i="33"/>
  <c r="M47" i="33" s="1"/>
  <c r="E84" i="33"/>
  <c r="AI15" i="35"/>
  <c r="AQ14" i="35"/>
  <c r="G329" i="41"/>
  <c r="K66" i="40"/>
  <c r="L55" i="40"/>
  <c r="M120" i="41"/>
  <c r="G17" i="31"/>
  <c r="H41" i="31"/>
  <c r="AE17" i="31"/>
  <c r="H103" i="39"/>
  <c r="K108" i="41"/>
  <c r="L97" i="41"/>
  <c r="AC55" i="32"/>
  <c r="AB55" i="32" s="1"/>
  <c r="Q22" i="32"/>
  <c r="P92" i="48"/>
  <c r="L76" i="40"/>
  <c r="K87" i="40"/>
  <c r="J186" i="40"/>
  <c r="W18" i="43"/>
  <c r="M3" i="41"/>
  <c r="N7" i="41"/>
  <c r="M8" i="41"/>
  <c r="M2" i="41"/>
  <c r="M6" i="41"/>
  <c r="W13" i="43"/>
  <c r="L168" i="41"/>
  <c r="T10" i="43"/>
  <c r="T6" i="43"/>
  <c r="T8" i="43"/>
  <c r="T12" i="43"/>
  <c r="T17" i="43"/>
  <c r="T19" i="43"/>
  <c r="T11" i="43"/>
  <c r="T20" i="43"/>
  <c r="T21" i="43"/>
  <c r="T13" i="43"/>
  <c r="T15" i="43"/>
  <c r="T14" i="43"/>
  <c r="T16" i="43"/>
  <c r="T22" i="43"/>
  <c r="T9" i="43"/>
  <c r="T7" i="43"/>
  <c r="T18" i="43"/>
  <c r="AP66" i="31"/>
  <c r="AP33" i="31"/>
  <c r="AP78" i="31"/>
  <c r="AP73" i="31"/>
  <c r="AP26" i="31"/>
  <c r="AP48" i="31"/>
  <c r="H330" i="38"/>
  <c r="H73" i="39"/>
  <c r="R16" i="31"/>
  <c r="J120" i="40"/>
  <c r="K176" i="41"/>
  <c r="K177" i="41" s="1"/>
  <c r="J9" i="40"/>
  <c r="H329" i="41"/>
  <c r="P42" i="33"/>
  <c r="O42" i="33"/>
  <c r="I19" i="31" s="1"/>
  <c r="I10" i="31" s="1"/>
  <c r="N42" i="33"/>
  <c r="R30" i="33"/>
  <c r="S30" i="33" s="1"/>
  <c r="U96" i="40"/>
  <c r="V95" i="40"/>
  <c r="T16" i="35"/>
  <c r="AB15" i="35"/>
  <c r="W22" i="43"/>
  <c r="T58" i="48"/>
  <c r="F286" i="41"/>
  <c r="G8" i="32"/>
  <c r="AQ18" i="31"/>
  <c r="I42" i="31"/>
  <c r="AQ42" i="31" s="1"/>
  <c r="AQ44" i="31" s="1"/>
  <c r="K1" i="42"/>
  <c r="K47" i="42"/>
  <c r="L2" i="42"/>
  <c r="G85" i="33"/>
  <c r="G86" i="33"/>
  <c r="E82" i="33"/>
  <c r="U4" i="43"/>
  <c r="U2" i="43"/>
  <c r="K247" i="40"/>
  <c r="L236" i="40"/>
  <c r="M411" i="41"/>
  <c r="N399" i="41"/>
  <c r="AQ4" i="31"/>
  <c r="AQ22" i="31" s="1"/>
  <c r="AR3" i="31"/>
  <c r="AR4" i="31" s="1"/>
  <c r="AR22" i="31" s="1"/>
  <c r="G68" i="39"/>
  <c r="K127" i="28"/>
  <c r="G330" i="38"/>
  <c r="L357" i="38"/>
  <c r="M338" i="38"/>
  <c r="J42" i="31"/>
  <c r="BB42" i="31" s="1"/>
  <c r="BB44" i="31" s="1"/>
  <c r="BB18" i="31"/>
  <c r="E23" i="35"/>
  <c r="D22" i="35"/>
  <c r="L22" i="35" s="1"/>
  <c r="K4" i="47"/>
  <c r="L3" i="47"/>
  <c r="K5" i="47"/>
  <c r="K6" i="47"/>
  <c r="H132" i="39"/>
  <c r="AP17" i="31"/>
  <c r="I41" i="31"/>
  <c r="R19" i="35"/>
  <c r="S18" i="35"/>
  <c r="J32" i="41"/>
  <c r="T30" i="32"/>
  <c r="J40" i="32"/>
  <c r="T78" i="48"/>
  <c r="AK52" i="32"/>
  <c r="G30" i="32"/>
  <c r="Y411" i="38"/>
  <c r="Z399" i="38"/>
  <c r="Y419" i="38"/>
  <c r="K374" i="38"/>
  <c r="K397" i="38"/>
  <c r="K394" i="38"/>
  <c r="K375" i="38"/>
  <c r="M41" i="33"/>
  <c r="H18" i="31"/>
  <c r="S24" i="43"/>
  <c r="W8" i="43"/>
  <c r="J9" i="38"/>
  <c r="M371" i="41"/>
  <c r="N359" i="41"/>
  <c r="J41" i="31"/>
  <c r="H161" i="39"/>
  <c r="BA17" i="31"/>
  <c r="N36" i="31"/>
  <c r="N44" i="31" s="1"/>
  <c r="R167" i="40"/>
  <c r="S166" i="40"/>
  <c r="AR12" i="35"/>
  <c r="X57" i="32"/>
  <c r="W57" i="32" s="1"/>
  <c r="G22" i="32"/>
  <c r="G98" i="39"/>
  <c r="G105" i="39" s="1"/>
  <c r="P73" i="48"/>
  <c r="R24" i="32"/>
  <c r="S25" i="43"/>
  <c r="L9" i="41"/>
  <c r="O286" i="41" l="1"/>
  <c r="O330" i="41" s="1"/>
  <c r="O288" i="41"/>
  <c r="O332" i="41" s="1"/>
  <c r="O290" i="41"/>
  <c r="O334" i="41" s="1"/>
  <c r="O289" i="41"/>
  <c r="P284" i="41"/>
  <c r="O287" i="41"/>
  <c r="O331" i="41" s="1"/>
  <c r="O291" i="41"/>
  <c r="O335" i="41" s="1"/>
  <c r="O285" i="41"/>
  <c r="N329" i="41"/>
  <c r="N336" i="41" s="1"/>
  <c r="N292" i="41"/>
  <c r="N294" i="38"/>
  <c r="M317" i="38"/>
  <c r="M328" i="38"/>
  <c r="M323" i="38"/>
  <c r="R166" i="41"/>
  <c r="Q167" i="41"/>
  <c r="P288" i="40"/>
  <c r="P332" i="40" s="1"/>
  <c r="P286" i="40"/>
  <c r="P330" i="40" s="1"/>
  <c r="P285" i="40"/>
  <c r="P289" i="40"/>
  <c r="P291" i="40"/>
  <c r="P335" i="40" s="1"/>
  <c r="P287" i="40"/>
  <c r="P331" i="40" s="1"/>
  <c r="P290" i="40"/>
  <c r="P334" i="40" s="1"/>
  <c r="Q284" i="40"/>
  <c r="O292" i="40"/>
  <c r="O329" i="40"/>
  <c r="O336" i="40" s="1"/>
  <c r="U235" i="41"/>
  <c r="V234" i="41"/>
  <c r="Q74" i="38"/>
  <c r="P75" i="38"/>
  <c r="P117" i="38"/>
  <c r="P120" i="38" s="1"/>
  <c r="Q116" i="38"/>
  <c r="K325" i="41"/>
  <c r="K326" i="41" s="1"/>
  <c r="K365" i="41" s="1"/>
  <c r="K393" i="41" s="1"/>
  <c r="M394" i="40"/>
  <c r="M366" i="40" s="1"/>
  <c r="M379" i="40" s="1"/>
  <c r="M375" i="40"/>
  <c r="M397" i="40"/>
  <c r="M374" i="40"/>
  <c r="R30" i="38"/>
  <c r="Q31" i="38"/>
  <c r="Q32" i="38" s="1"/>
  <c r="O338" i="40"/>
  <c r="N357" i="40"/>
  <c r="N159" i="38"/>
  <c r="L378" i="38"/>
  <c r="L415" i="40"/>
  <c r="L434" i="40"/>
  <c r="L406" i="40" s="1"/>
  <c r="L419" i="40" s="1"/>
  <c r="L414" i="40"/>
  <c r="O225" i="38"/>
  <c r="O226" i="38" s="1"/>
  <c r="O270" i="38"/>
  <c r="O142" i="38"/>
  <c r="O150" i="38" s="1"/>
  <c r="O158" i="38"/>
  <c r="O155" i="38"/>
  <c r="O157" i="38" s="1"/>
  <c r="P140" i="38"/>
  <c r="O257" i="38"/>
  <c r="O265" i="38" s="1"/>
  <c r="O227" i="38"/>
  <c r="O212" i="38"/>
  <c r="O220" i="38" s="1"/>
  <c r="O272" i="38"/>
  <c r="O156" i="38"/>
  <c r="L58" i="38"/>
  <c r="L239" i="38"/>
  <c r="L100" i="38"/>
  <c r="L171" i="38"/>
  <c r="L173" i="38" s="1"/>
  <c r="L79" i="38"/>
  <c r="L175" i="38"/>
  <c r="M273" i="40"/>
  <c r="M433" i="40" s="1"/>
  <c r="M405" i="40" s="1"/>
  <c r="M418" i="40" s="1"/>
  <c r="M325" i="40"/>
  <c r="M326" i="40" s="1"/>
  <c r="M365" i="40" s="1"/>
  <c r="J393" i="41"/>
  <c r="J378" i="41"/>
  <c r="M3" i="38"/>
  <c r="M433" i="38"/>
  <c r="M405" i="38" s="1"/>
  <c r="M418" i="38" s="1"/>
  <c r="M325" i="38"/>
  <c r="M326" i="38" s="1"/>
  <c r="M365" i="38" s="1"/>
  <c r="N324" i="38"/>
  <c r="N271" i="38"/>
  <c r="O74" i="41"/>
  <c r="N75" i="41"/>
  <c r="N76" i="41" s="1"/>
  <c r="N87" i="41" s="1"/>
  <c r="M162" i="41"/>
  <c r="M142" i="41"/>
  <c r="M150" i="41" s="1"/>
  <c r="M404" i="41"/>
  <c r="M272" i="41"/>
  <c r="M227" i="41"/>
  <c r="M364" i="41"/>
  <c r="M405" i="41"/>
  <c r="M418" i="41" s="1"/>
  <c r="M155" i="41"/>
  <c r="M157" i="41" s="1"/>
  <c r="M350" i="41"/>
  <c r="M275" i="41"/>
  <c r="M212" i="41"/>
  <c r="M220" i="41" s="1"/>
  <c r="M365" i="41"/>
  <c r="M270" i="41"/>
  <c r="M158" i="41"/>
  <c r="M230" i="41"/>
  <c r="M225" i="41"/>
  <c r="M257" i="41"/>
  <c r="M265" i="41" s="1"/>
  <c r="M156" i="41"/>
  <c r="N140" i="41"/>
  <c r="K176" i="38"/>
  <c r="K177" i="38" s="1"/>
  <c r="K186" i="38" s="1"/>
  <c r="O156" i="40"/>
  <c r="O350" i="40"/>
  <c r="O275" i="40"/>
  <c r="O257" i="40"/>
  <c r="O265" i="40" s="1"/>
  <c r="O162" i="40"/>
  <c r="O270" i="40"/>
  <c r="P140" i="40"/>
  <c r="O158" i="40"/>
  <c r="O225" i="40"/>
  <c r="O142" i="40"/>
  <c r="O150" i="40" s="1"/>
  <c r="O155" i="40"/>
  <c r="O157" i="40" s="1"/>
  <c r="O212" i="40"/>
  <c r="O220" i="40" s="1"/>
  <c r="O230" i="40"/>
  <c r="O405" i="40"/>
  <c r="O418" i="40" s="1"/>
  <c r="O365" i="40"/>
  <c r="O272" i="40"/>
  <c r="O404" i="40"/>
  <c r="O227" i="40"/>
  <c r="O364" i="40"/>
  <c r="O236" i="41"/>
  <c r="N247" i="41"/>
  <c r="M8" i="38"/>
  <c r="N7" i="38"/>
  <c r="M6" i="38"/>
  <c r="M2" i="38"/>
  <c r="L378" i="40"/>
  <c r="L393" i="40"/>
  <c r="K273" i="41"/>
  <c r="K433" i="41" s="1"/>
  <c r="K405" i="41" s="1"/>
  <c r="K418" i="41" s="1"/>
  <c r="N226" i="38"/>
  <c r="N228" i="38" s="1"/>
  <c r="V95" i="38"/>
  <c r="U96" i="38"/>
  <c r="L66" i="38"/>
  <c r="L247" i="38"/>
  <c r="N53" i="38"/>
  <c r="M54" i="38"/>
  <c r="M55" i="38" s="1"/>
  <c r="AG21" i="35"/>
  <c r="AH20" i="35"/>
  <c r="N234" i="38"/>
  <c r="M235" i="38"/>
  <c r="M236" i="38" s="1"/>
  <c r="S30" i="40"/>
  <c r="R31" i="40"/>
  <c r="Q116" i="41"/>
  <c r="P117" i="41"/>
  <c r="M363" i="41"/>
  <c r="M376" i="41" s="1"/>
  <c r="N397" i="41"/>
  <c r="N391" i="41"/>
  <c r="N431" i="41" s="1"/>
  <c r="N374" i="41"/>
  <c r="N394" i="41"/>
  <c r="N366" i="41" s="1"/>
  <c r="N379" i="41" s="1"/>
  <c r="N390" i="41"/>
  <c r="N375" i="41"/>
  <c r="N385" i="41"/>
  <c r="P338" i="41"/>
  <c r="O357" i="41"/>
  <c r="P290" i="38"/>
  <c r="P334" i="38" s="1"/>
  <c r="P289" i="38"/>
  <c r="P286" i="38"/>
  <c r="P330" i="38" s="1"/>
  <c r="P291" i="38"/>
  <c r="P335" i="38" s="1"/>
  <c r="P288" i="38"/>
  <c r="P332" i="38" s="1"/>
  <c r="P285" i="38"/>
  <c r="P287" i="38"/>
  <c r="P331" i="38" s="1"/>
  <c r="Q284" i="38"/>
  <c r="P7" i="40"/>
  <c r="O6" i="40"/>
  <c r="O3" i="40"/>
  <c r="O2" i="40"/>
  <c r="O8" i="40"/>
  <c r="O329" i="38"/>
  <c r="O336" i="38" s="1"/>
  <c r="O292" i="38"/>
  <c r="M176" i="40"/>
  <c r="R116" i="40"/>
  <c r="Q117" i="40"/>
  <c r="N87" i="38"/>
  <c r="O76" i="38"/>
  <c r="Q166" i="38"/>
  <c r="P167" i="38"/>
  <c r="P294" i="41"/>
  <c r="O323" i="41"/>
  <c r="O328" i="41"/>
  <c r="O317" i="41"/>
  <c r="P235" i="40"/>
  <c r="Q234" i="40"/>
  <c r="N168" i="38"/>
  <c r="B32" i="35"/>
  <c r="C31" i="35"/>
  <c r="N171" i="40"/>
  <c r="N173" i="40" s="1"/>
  <c r="N100" i="40"/>
  <c r="N175" i="40"/>
  <c r="N239" i="40"/>
  <c r="N79" i="40"/>
  <c r="N58" i="40"/>
  <c r="T323" i="40"/>
  <c r="T317" i="40"/>
  <c r="T328" i="40"/>
  <c r="U294" i="40"/>
  <c r="M430" i="41"/>
  <c r="M403" i="41" s="1"/>
  <c r="M416" i="41" s="1"/>
  <c r="M415" i="41"/>
  <c r="M434" i="41"/>
  <c r="M406" i="41" s="1"/>
  <c r="M419" i="41" s="1"/>
  <c r="M425" i="41"/>
  <c r="M414" i="41"/>
  <c r="O53" i="41"/>
  <c r="N54" i="41"/>
  <c r="L176" i="41"/>
  <c r="L177" i="41" s="1"/>
  <c r="L186" i="41" s="1"/>
  <c r="O6" i="31"/>
  <c r="AL6" i="31" s="1"/>
  <c r="M6" i="31"/>
  <c r="P6" i="31"/>
  <c r="AM6" i="31" s="1"/>
  <c r="Q6" i="31"/>
  <c r="AN6" i="31" s="1"/>
  <c r="N6" i="31"/>
  <c r="AK6" i="31" s="1"/>
  <c r="R6" i="31"/>
  <c r="AO6" i="31" s="1"/>
  <c r="T6" i="31"/>
  <c r="AQ6" i="31" s="1"/>
  <c r="S6" i="31"/>
  <c r="AP6" i="31" s="1"/>
  <c r="H74" i="39"/>
  <c r="S17" i="31"/>
  <c r="K186" i="40"/>
  <c r="G69" i="39"/>
  <c r="G76" i="39" s="1"/>
  <c r="K129" i="28"/>
  <c r="J19" i="31"/>
  <c r="P43" i="33"/>
  <c r="M58" i="41"/>
  <c r="M100" i="41"/>
  <c r="M171" i="41"/>
  <c r="M173" i="41" s="1"/>
  <c r="M79" i="41"/>
  <c r="M175" i="41"/>
  <c r="M239" i="41"/>
  <c r="O43" i="33"/>
  <c r="I43" i="31"/>
  <c r="AR43" i="31" s="1"/>
  <c r="AR44" i="31" s="1"/>
  <c r="AR19" i="31"/>
  <c r="U6" i="31"/>
  <c r="AR6" i="31" s="1"/>
  <c r="T17" i="35"/>
  <c r="AB16" i="35"/>
  <c r="M168" i="40"/>
  <c r="L177" i="40"/>
  <c r="G18" i="31"/>
  <c r="AF18" i="31"/>
  <c r="H42" i="31"/>
  <c r="K414" i="38"/>
  <c r="K415" i="38"/>
  <c r="K434" i="38"/>
  <c r="AP41" i="31"/>
  <c r="AP44" i="31" s="1"/>
  <c r="L6" i="47"/>
  <c r="M3" i="47"/>
  <c r="L4" i="47"/>
  <c r="L5" i="47"/>
  <c r="L397" i="38"/>
  <c r="L394" i="38"/>
  <c r="L366" i="38" s="1"/>
  <c r="L379" i="38" s="1"/>
  <c r="L47" i="42"/>
  <c r="M2" i="42"/>
  <c r="L1" i="42"/>
  <c r="V96" i="40"/>
  <c r="W95" i="40"/>
  <c r="T26" i="43"/>
  <c r="T23" i="43"/>
  <c r="M168" i="41"/>
  <c r="N2" i="41"/>
  <c r="O7" i="41"/>
  <c r="N6" i="41"/>
  <c r="N8" i="41"/>
  <c r="N3" i="41"/>
  <c r="N120" i="41"/>
  <c r="AI16" i="35"/>
  <c r="AQ15" i="35"/>
  <c r="I32" i="40"/>
  <c r="R40" i="31"/>
  <c r="R44" i="31" s="1"/>
  <c r="T24" i="43"/>
  <c r="BA41" i="31"/>
  <c r="BA44" i="31" s="1"/>
  <c r="E85" i="33"/>
  <c r="E86" i="33"/>
  <c r="K120" i="40"/>
  <c r="P96" i="41"/>
  <c r="Q95" i="41"/>
  <c r="M97" i="40"/>
  <c r="L108" i="40"/>
  <c r="T30" i="41"/>
  <c r="S31" i="41"/>
  <c r="P359" i="40"/>
  <c r="O371" i="40"/>
  <c r="R20" i="35"/>
  <c r="S19" i="35"/>
  <c r="M9" i="41"/>
  <c r="K366" i="38"/>
  <c r="K379" i="38" s="1"/>
  <c r="O399" i="41"/>
  <c r="N411" i="41"/>
  <c r="H286" i="41"/>
  <c r="G286" i="41"/>
  <c r="G40" i="32"/>
  <c r="AR78" i="31"/>
  <c r="AR66" i="31"/>
  <c r="AR48" i="31"/>
  <c r="AR33" i="31"/>
  <c r="AR26" i="31"/>
  <c r="AR73" i="31"/>
  <c r="H133" i="39"/>
  <c r="M127" i="28"/>
  <c r="M23" i="33"/>
  <c r="S23" i="33" s="1"/>
  <c r="S31" i="33" s="1"/>
  <c r="O31" i="33"/>
  <c r="M31" i="33" s="1"/>
  <c r="O97" i="38"/>
  <c r="N108" i="38"/>
  <c r="S54" i="40"/>
  <c r="T53" i="40"/>
  <c r="N371" i="41"/>
  <c r="O359" i="41"/>
  <c r="K32" i="41"/>
  <c r="M357" i="38"/>
  <c r="N338" i="38"/>
  <c r="AQ73" i="31"/>
  <c r="AQ48" i="31"/>
  <c r="AQ78" i="31"/>
  <c r="AQ66" i="31"/>
  <c r="AQ33" i="31"/>
  <c r="AQ26" i="31"/>
  <c r="F330" i="41"/>
  <c r="K9" i="40"/>
  <c r="T25" i="43"/>
  <c r="L108" i="41"/>
  <c r="M97" i="41"/>
  <c r="U75" i="40"/>
  <c r="V74" i="40"/>
  <c r="E24" i="35"/>
  <c r="D23" i="35"/>
  <c r="L23" i="35" s="1"/>
  <c r="AH52" i="32"/>
  <c r="M55" i="40"/>
  <c r="L66" i="40"/>
  <c r="AC57" i="32"/>
  <c r="AB57" i="32" s="1"/>
  <c r="Q24" i="32"/>
  <c r="P94" i="48"/>
  <c r="K9" i="38"/>
  <c r="T99" i="48"/>
  <c r="Q30" i="32"/>
  <c r="S167" i="40"/>
  <c r="T166" i="40"/>
  <c r="Z419" i="38"/>
  <c r="Z411" i="38"/>
  <c r="M236" i="40"/>
  <c r="L247" i="40"/>
  <c r="U20" i="43"/>
  <c r="V20" i="43" s="1"/>
  <c r="U9" i="43"/>
  <c r="V9" i="43" s="1"/>
  <c r="U21" i="43"/>
  <c r="V21" i="43" s="1"/>
  <c r="U16" i="43"/>
  <c r="V16" i="43" s="1"/>
  <c r="U17" i="43"/>
  <c r="V17" i="43" s="1"/>
  <c r="U14" i="43"/>
  <c r="V14" i="43" s="1"/>
  <c r="U6" i="43"/>
  <c r="U8" i="43"/>
  <c r="V8" i="43" s="1"/>
  <c r="U12" i="43"/>
  <c r="V12" i="43" s="1"/>
  <c r="U22" i="43"/>
  <c r="V22" i="43" s="1"/>
  <c r="U15" i="43"/>
  <c r="V15" i="43" s="1"/>
  <c r="U7" i="43"/>
  <c r="V7" i="43" s="1"/>
  <c r="U10" i="43"/>
  <c r="V10" i="43" s="1"/>
  <c r="U13" i="43"/>
  <c r="V13" i="43" s="1"/>
  <c r="U18" i="43"/>
  <c r="V18" i="43" s="1"/>
  <c r="U11" i="43"/>
  <c r="V11" i="43" s="1"/>
  <c r="U19" i="43"/>
  <c r="V19" i="43" s="1"/>
  <c r="H19" i="31"/>
  <c r="H10" i="31" s="1"/>
  <c r="M42" i="33"/>
  <c r="N43" i="33"/>
  <c r="K186" i="41"/>
  <c r="M76" i="40"/>
  <c r="L87" i="40"/>
  <c r="G41" i="31"/>
  <c r="AE41" i="31"/>
  <c r="AE44" i="31" s="1"/>
  <c r="L66" i="41"/>
  <c r="M55" i="41"/>
  <c r="O329" i="41" l="1"/>
  <c r="O336" i="41" s="1"/>
  <c r="O292" i="41"/>
  <c r="P290" i="41"/>
  <c r="P334" i="41" s="1"/>
  <c r="Q284" i="41"/>
  <c r="P285" i="41"/>
  <c r="P286" i="41"/>
  <c r="P330" i="41" s="1"/>
  <c r="P287" i="41"/>
  <c r="P331" i="41" s="1"/>
  <c r="P291" i="41"/>
  <c r="P335" i="41" s="1"/>
  <c r="P288" i="41"/>
  <c r="P332" i="41" s="1"/>
  <c r="P289" i="41"/>
  <c r="K378" i="41"/>
  <c r="N323" i="38"/>
  <c r="O294" i="38"/>
  <c r="N317" i="38"/>
  <c r="N328" i="38"/>
  <c r="N363" i="41"/>
  <c r="N376" i="41" s="1"/>
  <c r="N176" i="40"/>
  <c r="Q75" i="38"/>
  <c r="R74" i="38"/>
  <c r="V235" i="41"/>
  <c r="W234" i="41"/>
  <c r="P292" i="40"/>
  <c r="P329" i="40"/>
  <c r="P336" i="40" s="1"/>
  <c r="Q117" i="38"/>
  <c r="Q120" i="38" s="1"/>
  <c r="R116" i="38"/>
  <c r="Q290" i="40"/>
  <c r="Q334" i="40" s="1"/>
  <c r="Q289" i="40"/>
  <c r="Q291" i="40"/>
  <c r="Q335" i="40" s="1"/>
  <c r="Q286" i="40"/>
  <c r="Q330" i="40" s="1"/>
  <c r="Q287" i="40"/>
  <c r="Q331" i="40" s="1"/>
  <c r="Q285" i="40"/>
  <c r="Q288" i="40"/>
  <c r="Q332" i="40" s="1"/>
  <c r="R284" i="40"/>
  <c r="S166" i="41"/>
  <c r="R167" i="41"/>
  <c r="O277" i="40"/>
  <c r="O308" i="40" s="1"/>
  <c r="N325" i="38"/>
  <c r="N326" i="38" s="1"/>
  <c r="N365" i="38" s="1"/>
  <c r="N378" i="38" s="1"/>
  <c r="S30" i="38"/>
  <c r="R31" i="38"/>
  <c r="R32" i="38" s="1"/>
  <c r="O357" i="40"/>
  <c r="P338" i="40"/>
  <c r="M415" i="40"/>
  <c r="M434" i="40"/>
  <c r="M406" i="40" s="1"/>
  <c r="M419" i="40" s="1"/>
  <c r="M414" i="40"/>
  <c r="N397" i="40"/>
  <c r="N374" i="40"/>
  <c r="N375" i="40"/>
  <c r="M100" i="38"/>
  <c r="M171" i="38"/>
  <c r="M173" i="38" s="1"/>
  <c r="M79" i="38"/>
  <c r="M175" i="38"/>
  <c r="M239" i="38"/>
  <c r="M58" i="38"/>
  <c r="O432" i="40"/>
  <c r="O417" i="40"/>
  <c r="P142" i="38"/>
  <c r="P150" i="38" s="1"/>
  <c r="P257" i="38"/>
  <c r="P265" i="38" s="1"/>
  <c r="P212" i="38"/>
  <c r="P220" i="38" s="1"/>
  <c r="Q140" i="38"/>
  <c r="P156" i="38"/>
  <c r="M393" i="41"/>
  <c r="M378" i="41"/>
  <c r="O159" i="38"/>
  <c r="O7" i="38"/>
  <c r="N8" i="38"/>
  <c r="N6" i="38"/>
  <c r="N3" i="38"/>
  <c r="N2" i="38"/>
  <c r="O378" i="40"/>
  <c r="O393" i="40"/>
  <c r="Q140" i="40"/>
  <c r="P270" i="40"/>
  <c r="P162" i="40"/>
  <c r="P350" i="40"/>
  <c r="P142" i="40"/>
  <c r="P150" i="40" s="1"/>
  <c r="P272" i="40"/>
  <c r="P225" i="40"/>
  <c r="P226" i="40" s="1"/>
  <c r="P212" i="40"/>
  <c r="P220" i="40" s="1"/>
  <c r="P158" i="40"/>
  <c r="P227" i="40"/>
  <c r="P257" i="40"/>
  <c r="P265" i="40" s="1"/>
  <c r="P275" i="40"/>
  <c r="P156" i="40"/>
  <c r="P155" i="40"/>
  <c r="P157" i="40" s="1"/>
  <c r="P365" i="40"/>
  <c r="P230" i="40"/>
  <c r="P405" i="40"/>
  <c r="P418" i="40" s="1"/>
  <c r="P404" i="40"/>
  <c r="P364" i="40"/>
  <c r="N257" i="41"/>
  <c r="N265" i="41" s="1"/>
  <c r="N364" i="41"/>
  <c r="N405" i="41"/>
  <c r="N418" i="41" s="1"/>
  <c r="N230" i="41"/>
  <c r="N156" i="41"/>
  <c r="N365" i="41"/>
  <c r="N155" i="41"/>
  <c r="N212" i="41"/>
  <c r="N220" i="41" s="1"/>
  <c r="N225" i="41"/>
  <c r="N226" i="41" s="1"/>
  <c r="N227" i="41"/>
  <c r="O140" i="41"/>
  <c r="N162" i="41"/>
  <c r="N275" i="41"/>
  <c r="N142" i="41"/>
  <c r="N150" i="41" s="1"/>
  <c r="N158" i="41"/>
  <c r="N272" i="41"/>
  <c r="N350" i="41"/>
  <c r="N404" i="41"/>
  <c r="N270" i="41"/>
  <c r="M432" i="41"/>
  <c r="M417" i="41"/>
  <c r="M378" i="38"/>
  <c r="M393" i="38"/>
  <c r="O271" i="40"/>
  <c r="O324" i="40"/>
  <c r="M277" i="41"/>
  <c r="M308" i="41" s="1"/>
  <c r="M393" i="40"/>
  <c r="M378" i="40"/>
  <c r="N393" i="38"/>
  <c r="O271" i="38"/>
  <c r="O325" i="38" s="1"/>
  <c r="O324" i="38"/>
  <c r="O247" i="41"/>
  <c r="P236" i="41"/>
  <c r="M226" i="41"/>
  <c r="M228" i="41" s="1"/>
  <c r="M159" i="41"/>
  <c r="O228" i="38"/>
  <c r="M271" i="41"/>
  <c r="M324" i="41"/>
  <c r="W95" i="38"/>
  <c r="V96" i="38"/>
  <c r="O392" i="40"/>
  <c r="O377" i="40"/>
  <c r="O159" i="40"/>
  <c r="O75" i="41"/>
  <c r="O76" i="41" s="1"/>
  <c r="O87" i="41" s="1"/>
  <c r="P74" i="41"/>
  <c r="O226" i="40"/>
  <c r="O228" i="40" s="1"/>
  <c r="M377" i="41"/>
  <c r="M392" i="41"/>
  <c r="N273" i="38"/>
  <c r="N433" i="38" s="1"/>
  <c r="N405" i="38" s="1"/>
  <c r="N418" i="38" s="1"/>
  <c r="L176" i="38"/>
  <c r="L177" i="38" s="1"/>
  <c r="L186" i="38" s="1"/>
  <c r="M66" i="38"/>
  <c r="P76" i="38"/>
  <c r="O87" i="38"/>
  <c r="R116" i="41"/>
  <c r="Q117" i="41"/>
  <c r="AG22" i="35"/>
  <c r="AH21" i="35"/>
  <c r="N414" i="41"/>
  <c r="N425" i="41"/>
  <c r="N415" i="41"/>
  <c r="N430" i="41"/>
  <c r="N403" i="41" s="1"/>
  <c r="N416" i="41" s="1"/>
  <c r="N434" i="41"/>
  <c r="N406" i="41" s="1"/>
  <c r="N419" i="41" s="1"/>
  <c r="M247" i="38"/>
  <c r="P53" i="41"/>
  <c r="O54" i="41"/>
  <c r="T30" i="40"/>
  <c r="S31" i="40"/>
  <c r="U317" i="40"/>
  <c r="U328" i="40"/>
  <c r="V294" i="40"/>
  <c r="U323" i="40"/>
  <c r="P323" i="41"/>
  <c r="P328" i="41"/>
  <c r="Q294" i="41"/>
  <c r="P317" i="41"/>
  <c r="R117" i="40"/>
  <c r="S116" i="40"/>
  <c r="O100" i="40"/>
  <c r="O79" i="40"/>
  <c r="O239" i="40"/>
  <c r="O175" i="40"/>
  <c r="O58" i="40"/>
  <c r="O171" i="40"/>
  <c r="O173" i="40" s="1"/>
  <c r="O53" i="38"/>
  <c r="N54" i="38"/>
  <c r="N55" i="38" s="1"/>
  <c r="R234" i="40"/>
  <c r="Q235" i="40"/>
  <c r="Q287" i="38"/>
  <c r="Q331" i="38" s="1"/>
  <c r="Q288" i="38"/>
  <c r="Q332" i="38" s="1"/>
  <c r="R284" i="38"/>
  <c r="Q286" i="38"/>
  <c r="Q330" i="38" s="1"/>
  <c r="Q290" i="38"/>
  <c r="Q334" i="38" s="1"/>
  <c r="Q289" i="38"/>
  <c r="Q285" i="38"/>
  <c r="Q291" i="38"/>
  <c r="Q335" i="38" s="1"/>
  <c r="O397" i="41"/>
  <c r="O375" i="41"/>
  <c r="O394" i="41"/>
  <c r="O366" i="41" s="1"/>
  <c r="O379" i="41" s="1"/>
  <c r="O390" i="41"/>
  <c r="O391" i="41"/>
  <c r="O431" i="41" s="1"/>
  <c r="O385" i="41"/>
  <c r="O374" i="41"/>
  <c r="P357" i="41"/>
  <c r="Q338" i="41"/>
  <c r="B33" i="35"/>
  <c r="C32" i="35"/>
  <c r="P2" i="40"/>
  <c r="Q7" i="40"/>
  <c r="P6" i="40"/>
  <c r="P3" i="40"/>
  <c r="P8" i="40"/>
  <c r="P329" i="38"/>
  <c r="P336" i="38" s="1"/>
  <c r="P292" i="38"/>
  <c r="R166" i="38"/>
  <c r="Q167" i="38"/>
  <c r="O168" i="38"/>
  <c r="O234" i="38"/>
  <c r="N235" i="38"/>
  <c r="N236" i="38" s="1"/>
  <c r="M176" i="41"/>
  <c r="M177" i="41" s="1"/>
  <c r="O5" i="31"/>
  <c r="M5" i="31"/>
  <c r="N5" i="31"/>
  <c r="P5" i="31"/>
  <c r="Q5" i="31"/>
  <c r="R5" i="31"/>
  <c r="S5" i="31"/>
  <c r="T5" i="31"/>
  <c r="N55" i="40"/>
  <c r="M66" i="40"/>
  <c r="AL34" i="31"/>
  <c r="AL45" i="31" s="1"/>
  <c r="AL27" i="31"/>
  <c r="AL28" i="31"/>
  <c r="AL23" i="31"/>
  <c r="AL24" i="31" s="1"/>
  <c r="AL30" i="31"/>
  <c r="AL29" i="31"/>
  <c r="AQ27" i="31"/>
  <c r="AQ28" i="31"/>
  <c r="AQ34" i="31"/>
  <c r="AQ45" i="31" s="1"/>
  <c r="AQ23" i="31"/>
  <c r="AQ24" i="31" s="1"/>
  <c r="AQ30" i="31"/>
  <c r="AQ29" i="31"/>
  <c r="L9" i="38"/>
  <c r="E25" i="35"/>
  <c r="D24" i="35"/>
  <c r="L24" i="35" s="1"/>
  <c r="R21" i="35"/>
  <c r="S20" i="35"/>
  <c r="N2" i="42"/>
  <c r="M47" i="42"/>
  <c r="M1" i="42"/>
  <c r="I44" i="31"/>
  <c r="I45" i="31" s="1"/>
  <c r="L186" i="40"/>
  <c r="AO28" i="31"/>
  <c r="AO27" i="31"/>
  <c r="AO34" i="31"/>
  <c r="AO45" i="31" s="1"/>
  <c r="AO23" i="31"/>
  <c r="AO24" i="31" s="1"/>
  <c r="AO30" i="31"/>
  <c r="AO29" i="31"/>
  <c r="O120" i="41"/>
  <c r="U30" i="41"/>
  <c r="T31" i="41"/>
  <c r="W74" i="40"/>
  <c r="V75" i="40"/>
  <c r="L9" i="40"/>
  <c r="O371" i="41"/>
  <c r="P359" i="41"/>
  <c r="N9" i="41"/>
  <c r="J32" i="40"/>
  <c r="O3" i="41"/>
  <c r="O6" i="41"/>
  <c r="P7" i="41"/>
  <c r="O8" i="41"/>
  <c r="O2" i="41"/>
  <c r="L434" i="38"/>
  <c r="L406" i="38" s="1"/>
  <c r="L419" i="38" s="1"/>
  <c r="G42" i="31"/>
  <c r="AF42" i="31"/>
  <c r="AF44" i="31" s="1"/>
  <c r="AK34" i="31"/>
  <c r="AK45" i="31" s="1"/>
  <c r="AK27" i="31"/>
  <c r="AK28" i="31"/>
  <c r="AK23" i="31"/>
  <c r="AK24" i="31" s="1"/>
  <c r="AK30" i="31"/>
  <c r="AK29" i="31"/>
  <c r="L32" i="41"/>
  <c r="G330" i="41"/>
  <c r="K406" i="38"/>
  <c r="K419" i="38" s="1"/>
  <c r="P399" i="41"/>
  <c r="O411" i="41"/>
  <c r="U5" i="31"/>
  <c r="G19" i="31"/>
  <c r="U19" i="31" s="1"/>
  <c r="AG19" i="31"/>
  <c r="H43" i="31"/>
  <c r="U53" i="40"/>
  <c r="T54" i="40"/>
  <c r="R95" i="41"/>
  <c r="Q96" i="41"/>
  <c r="N171" i="41"/>
  <c r="N173" i="41" s="1"/>
  <c r="N239" i="41"/>
  <c r="N79" i="41"/>
  <c r="N100" i="41"/>
  <c r="N58" i="41"/>
  <c r="N175" i="41"/>
  <c r="W96" i="40"/>
  <c r="X95" i="40"/>
  <c r="H104" i="39"/>
  <c r="N168" i="40"/>
  <c r="M177" i="40"/>
  <c r="AR27" i="31"/>
  <c r="AR34" i="31"/>
  <c r="AR45" i="31" s="1"/>
  <c r="AR28" i="31"/>
  <c r="AR23" i="31"/>
  <c r="AR24" i="31" s="1"/>
  <c r="AR30" i="31"/>
  <c r="AR29" i="31"/>
  <c r="AN28" i="31"/>
  <c r="AN27" i="31"/>
  <c r="AN34" i="31"/>
  <c r="AN45" i="31" s="1"/>
  <c r="AN23" i="31"/>
  <c r="AN24" i="31" s="1"/>
  <c r="AN29" i="31"/>
  <c r="AN30" i="31"/>
  <c r="U26" i="43"/>
  <c r="U23" i="43"/>
  <c r="M43" i="33"/>
  <c r="N97" i="41"/>
  <c r="M108" i="41"/>
  <c r="M129" i="28"/>
  <c r="N357" i="38"/>
  <c r="O338" i="38"/>
  <c r="AM34" i="31"/>
  <c r="AM45" i="31" s="1"/>
  <c r="AM27" i="31"/>
  <c r="AM28" i="31"/>
  <c r="AM23" i="31"/>
  <c r="AM24" i="31" s="1"/>
  <c r="AM30" i="31"/>
  <c r="AM29" i="31"/>
  <c r="AP34" i="31"/>
  <c r="AP45" i="31" s="1"/>
  <c r="AP27" i="31"/>
  <c r="AP28" i="31"/>
  <c r="AP23" i="31"/>
  <c r="AP24" i="31" s="1"/>
  <c r="AP29" i="31"/>
  <c r="AP30" i="31"/>
  <c r="S41" i="31"/>
  <c r="S44" i="31" s="1"/>
  <c r="H330" i="41"/>
  <c r="N55" i="41"/>
  <c r="M66" i="41"/>
  <c r="M397" i="38"/>
  <c r="M375" i="38"/>
  <c r="M394" i="38"/>
  <c r="M374" i="38"/>
  <c r="Q359" i="40"/>
  <c r="P379" i="40"/>
  <c r="P371" i="40"/>
  <c r="N97" i="40"/>
  <c r="M108" i="40"/>
  <c r="L120" i="40"/>
  <c r="AQ16" i="35"/>
  <c r="AI17" i="35"/>
  <c r="AB17" i="35"/>
  <c r="T18" i="35"/>
  <c r="M247" i="40"/>
  <c r="N236" i="40"/>
  <c r="O108" i="38"/>
  <c r="P97" i="38"/>
  <c r="M87" i="40"/>
  <c r="N76" i="40"/>
  <c r="U25" i="43"/>
  <c r="U24" i="43"/>
  <c r="T167" i="40"/>
  <c r="U166" i="40"/>
  <c r="V6" i="43"/>
  <c r="N168" i="41"/>
  <c r="M6" i="47"/>
  <c r="M5" i="47"/>
  <c r="M4" i="47"/>
  <c r="N3" i="47"/>
  <c r="T18" i="31"/>
  <c r="J43" i="31"/>
  <c r="BC19" i="31"/>
  <c r="H162" i="39"/>
  <c r="J10" i="31"/>
  <c r="G10" i="31" s="1"/>
  <c r="F40" i="32" s="1"/>
  <c r="AJ6" i="31"/>
  <c r="V6" i="31"/>
  <c r="P292" i="41" l="1"/>
  <c r="P329" i="41"/>
  <c r="P336" i="41" s="1"/>
  <c r="Q290" i="41"/>
  <c r="Q334" i="41" s="1"/>
  <c r="Q288" i="41"/>
  <c r="Q332" i="41" s="1"/>
  <c r="Q285" i="41"/>
  <c r="R284" i="41"/>
  <c r="Q289" i="41"/>
  <c r="Q286" i="41"/>
  <c r="Q330" i="41" s="1"/>
  <c r="Q291" i="41"/>
  <c r="Q335" i="41" s="1"/>
  <c r="Q287" i="41"/>
  <c r="Q331" i="41" s="1"/>
  <c r="P294" i="38"/>
  <c r="O328" i="38"/>
  <c r="O317" i="38"/>
  <c r="O323" i="38"/>
  <c r="M325" i="41"/>
  <c r="M326" i="41" s="1"/>
  <c r="S116" i="38"/>
  <c r="R117" i="38"/>
  <c r="R120" i="38" s="1"/>
  <c r="R289" i="40"/>
  <c r="S284" i="40"/>
  <c r="R287" i="40"/>
  <c r="R331" i="40" s="1"/>
  <c r="R291" i="40"/>
  <c r="R335" i="40" s="1"/>
  <c r="R286" i="40"/>
  <c r="R330" i="40" s="1"/>
  <c r="R290" i="40"/>
  <c r="R334" i="40" s="1"/>
  <c r="R288" i="40"/>
  <c r="R332" i="40" s="1"/>
  <c r="R285" i="40"/>
  <c r="Q329" i="40"/>
  <c r="Q336" i="40" s="1"/>
  <c r="Q292" i="40"/>
  <c r="X234" i="41"/>
  <c r="W235" i="41"/>
  <c r="R75" i="38"/>
  <c r="S74" i="38"/>
  <c r="S167" i="41"/>
  <c r="T166" i="41"/>
  <c r="P357" i="40"/>
  <c r="Q338" i="40"/>
  <c r="O385" i="40"/>
  <c r="O374" i="40"/>
  <c r="O394" i="40"/>
  <c r="O366" i="40" s="1"/>
  <c r="O379" i="40" s="1"/>
  <c r="O397" i="40"/>
  <c r="O390" i="40"/>
  <c r="O391" i="40"/>
  <c r="O431" i="40" s="1"/>
  <c r="O375" i="40"/>
  <c r="S31" i="38"/>
  <c r="S32" i="38" s="1"/>
  <c r="T30" i="38"/>
  <c r="P228" i="40"/>
  <c r="N415" i="40"/>
  <c r="N414" i="40"/>
  <c r="M273" i="41"/>
  <c r="M433" i="41" s="1"/>
  <c r="O273" i="38"/>
  <c r="O433" i="38" s="1"/>
  <c r="O405" i="38" s="1"/>
  <c r="O418" i="38" s="1"/>
  <c r="P393" i="40"/>
  <c r="P378" i="40"/>
  <c r="N271" i="41"/>
  <c r="N324" i="41"/>
  <c r="O272" i="41"/>
  <c r="O225" i="41"/>
  <c r="O226" i="41" s="1"/>
  <c r="O364" i="41"/>
  <c r="O350" i="41"/>
  <c r="O212" i="41"/>
  <c r="O220" i="41" s="1"/>
  <c r="O257" i="41"/>
  <c r="O265" i="41" s="1"/>
  <c r="O156" i="41"/>
  <c r="O275" i="41"/>
  <c r="P140" i="41"/>
  <c r="O155" i="41"/>
  <c r="O157" i="41" s="1"/>
  <c r="O162" i="41"/>
  <c r="O227" i="41"/>
  <c r="O230" i="41"/>
  <c r="O405" i="41"/>
  <c r="O418" i="41" s="1"/>
  <c r="O404" i="41"/>
  <c r="O158" i="41"/>
  <c r="O365" i="41"/>
  <c r="O270" i="41"/>
  <c r="O142" i="41"/>
  <c r="O150" i="41" s="1"/>
  <c r="P159" i="40"/>
  <c r="N171" i="38"/>
  <c r="N173" i="38" s="1"/>
  <c r="N58" i="38"/>
  <c r="N79" i="38"/>
  <c r="N239" i="38"/>
  <c r="N175" i="38"/>
  <c r="N100" i="38"/>
  <c r="O325" i="40"/>
  <c r="O326" i="40" s="1"/>
  <c r="O273" i="40"/>
  <c r="O433" i="40" s="1"/>
  <c r="N417" i="41"/>
  <c r="N432" i="41"/>
  <c r="N377" i="41"/>
  <c r="N392" i="41"/>
  <c r="O326" i="38"/>
  <c r="O365" i="38" s="1"/>
  <c r="N228" i="41"/>
  <c r="P277" i="40"/>
  <c r="P308" i="40" s="1"/>
  <c r="Q225" i="38"/>
  <c r="Q226" i="38" s="1"/>
  <c r="Q156" i="38"/>
  <c r="Q227" i="38"/>
  <c r="Q155" i="38"/>
  <c r="Q157" i="38" s="1"/>
  <c r="Q275" i="38"/>
  <c r="Q270" i="38"/>
  <c r="Q364" i="38"/>
  <c r="Q405" i="38"/>
  <c r="Q418" i="38" s="1"/>
  <c r="Q404" i="38"/>
  <c r="R140" i="38"/>
  <c r="Q350" i="38"/>
  <c r="Q142" i="38"/>
  <c r="Q150" i="38" s="1"/>
  <c r="Q257" i="38"/>
  <c r="Q265" i="38" s="1"/>
  <c r="Q162" i="38"/>
  <c r="Q272" i="38"/>
  <c r="Q158" i="38"/>
  <c r="Q365" i="38"/>
  <c r="Q212" i="38"/>
  <c r="Q220" i="38" s="1"/>
  <c r="Q230" i="38"/>
  <c r="P75" i="41"/>
  <c r="P76" i="41" s="1"/>
  <c r="P87" i="41" s="1"/>
  <c r="Q74" i="41"/>
  <c r="P392" i="40"/>
  <c r="P377" i="40"/>
  <c r="N157" i="41"/>
  <c r="N159" i="41" s="1"/>
  <c r="P432" i="40"/>
  <c r="P417" i="40"/>
  <c r="P324" i="40"/>
  <c r="P271" i="40"/>
  <c r="P325" i="40" s="1"/>
  <c r="O3" i="38"/>
  <c r="P7" i="38"/>
  <c r="O8" i="38"/>
  <c r="O6" i="38"/>
  <c r="O2" i="38"/>
  <c r="M176" i="38"/>
  <c r="M177" i="38" s="1"/>
  <c r="M186" i="38" s="1"/>
  <c r="X95" i="38"/>
  <c r="W96" i="38"/>
  <c r="N378" i="41"/>
  <c r="N393" i="41"/>
  <c r="Q225" i="40"/>
  <c r="Q226" i="40" s="1"/>
  <c r="Q227" i="40"/>
  <c r="Q404" i="40"/>
  <c r="Q155" i="40"/>
  <c r="Q157" i="40" s="1"/>
  <c r="Q405" i="40"/>
  <c r="Q418" i="40" s="1"/>
  <c r="Q350" i="40"/>
  <c r="R140" i="40"/>
  <c r="Q162" i="40"/>
  <c r="Q272" i="40"/>
  <c r="Q142" i="40"/>
  <c r="Q150" i="40" s="1"/>
  <c r="Q364" i="40"/>
  <c r="Q275" i="40"/>
  <c r="Q257" i="40"/>
  <c r="Q265" i="40" s="1"/>
  <c r="Q365" i="40"/>
  <c r="Q270" i="40"/>
  <c r="Q156" i="40"/>
  <c r="Q230" i="40"/>
  <c r="Q212" i="40"/>
  <c r="Q220" i="40" s="1"/>
  <c r="Q158" i="40"/>
  <c r="P247" i="41"/>
  <c r="Q236" i="41"/>
  <c r="N277" i="41"/>
  <c r="N308" i="41" s="1"/>
  <c r="N247" i="38"/>
  <c r="N66" i="38"/>
  <c r="S166" i="38"/>
  <c r="R167" i="38"/>
  <c r="O235" i="38"/>
  <c r="O236" i="38" s="1"/>
  <c r="P234" i="38"/>
  <c r="R338" i="41"/>
  <c r="Q357" i="41"/>
  <c r="O363" i="41"/>
  <c r="O376" i="41" s="1"/>
  <c r="S116" i="41"/>
  <c r="R117" i="41"/>
  <c r="P168" i="38"/>
  <c r="P397" i="41"/>
  <c r="P374" i="41"/>
  <c r="P375" i="41"/>
  <c r="P391" i="41"/>
  <c r="P431" i="41" s="1"/>
  <c r="P394" i="41"/>
  <c r="P366" i="41" s="1"/>
  <c r="P390" i="41"/>
  <c r="P385" i="41"/>
  <c r="R291" i="38"/>
  <c r="R335" i="38" s="1"/>
  <c r="R287" i="38"/>
  <c r="R331" i="38" s="1"/>
  <c r="S284" i="38"/>
  <c r="R290" i="38"/>
  <c r="R334" i="38" s="1"/>
  <c r="R288" i="38"/>
  <c r="R332" i="38" s="1"/>
  <c r="R285" i="38"/>
  <c r="R289" i="38"/>
  <c r="R286" i="38"/>
  <c r="R330" i="38" s="1"/>
  <c r="B34" i="35"/>
  <c r="C33" i="35"/>
  <c r="P53" i="38"/>
  <c r="O54" i="38"/>
  <c r="O55" i="38" s="1"/>
  <c r="W294" i="40"/>
  <c r="V317" i="40"/>
  <c r="V328" i="40"/>
  <c r="V323" i="40"/>
  <c r="U30" i="40"/>
  <c r="T31" i="40"/>
  <c r="P87" i="38"/>
  <c r="Q76" i="38"/>
  <c r="R235" i="40"/>
  <c r="S234" i="40"/>
  <c r="Q6" i="40"/>
  <c r="R7" i="40"/>
  <c r="Q3" i="40"/>
  <c r="Q2" i="40"/>
  <c r="Q8" i="40"/>
  <c r="O430" i="41"/>
  <c r="O403" i="41" s="1"/>
  <c r="O416" i="41" s="1"/>
  <c r="O434" i="41"/>
  <c r="O406" i="41" s="1"/>
  <c r="O419" i="41" s="1"/>
  <c r="O415" i="41"/>
  <c r="O425" i="41"/>
  <c r="O414" i="41"/>
  <c r="O176" i="40"/>
  <c r="T116" i="40"/>
  <c r="S117" i="40"/>
  <c r="AG23" i="35"/>
  <c r="AH22" i="35"/>
  <c r="P58" i="40"/>
  <c r="P79" i="40"/>
  <c r="P100" i="40"/>
  <c r="P239" i="40"/>
  <c r="P171" i="40"/>
  <c r="P173" i="40" s="1"/>
  <c r="P175" i="40"/>
  <c r="Q329" i="38"/>
  <c r="Q336" i="38" s="1"/>
  <c r="Q292" i="38"/>
  <c r="Q323" i="41"/>
  <c r="R294" i="41"/>
  <c r="Q328" i="41"/>
  <c r="Q317" i="41"/>
  <c r="Q53" i="41"/>
  <c r="P54" i="41"/>
  <c r="N176" i="41"/>
  <c r="N177" i="41" s="1"/>
  <c r="N186" i="41" s="1"/>
  <c r="U7" i="31"/>
  <c r="BC7" i="31" s="1"/>
  <c r="BC27" i="31" s="1"/>
  <c r="H75" i="39"/>
  <c r="AQ31" i="31"/>
  <c r="AM31" i="31"/>
  <c r="AP31" i="31"/>
  <c r="BC43" i="31"/>
  <c r="BC44" i="31" s="1"/>
  <c r="J44" i="31"/>
  <c r="J45" i="31" s="1"/>
  <c r="O97" i="40"/>
  <c r="N108" i="40"/>
  <c r="AE5" i="31"/>
  <c r="S95" i="41"/>
  <c r="R96" i="41"/>
  <c r="M9" i="40"/>
  <c r="P30" i="32"/>
  <c r="N247" i="40"/>
  <c r="O236" i="40"/>
  <c r="F41" i="31"/>
  <c r="M32" i="41"/>
  <c r="O9" i="41"/>
  <c r="M9" i="38"/>
  <c r="AC5" i="31"/>
  <c r="P24" i="32"/>
  <c r="AK31" i="31"/>
  <c r="AD5" i="31"/>
  <c r="U167" i="40"/>
  <c r="V166" i="40"/>
  <c r="M186" i="41"/>
  <c r="Q371" i="40"/>
  <c r="Q379" i="40"/>
  <c r="R359" i="40"/>
  <c r="P419" i="41"/>
  <c r="P411" i="41"/>
  <c r="Q399" i="41"/>
  <c r="K32" i="40"/>
  <c r="P120" i="41"/>
  <c r="AB5" i="31"/>
  <c r="T42" i="31"/>
  <c r="T44" i="31" s="1"/>
  <c r="F42" i="31"/>
  <c r="J20" i="31"/>
  <c r="O7" i="31"/>
  <c r="AW7" i="31" s="1"/>
  <c r="N7" i="31"/>
  <c r="AV7" i="31" s="1"/>
  <c r="P7" i="31"/>
  <c r="AX7" i="31" s="1"/>
  <c r="Q7" i="31"/>
  <c r="AY7" i="31" s="1"/>
  <c r="M7" i="31"/>
  <c r="M34" i="31" s="1"/>
  <c r="M45" i="31" s="1"/>
  <c r="R7" i="31"/>
  <c r="AZ7" i="31" s="1"/>
  <c r="T7" i="31"/>
  <c r="BB7" i="31" s="1"/>
  <c r="S7" i="31"/>
  <c r="BA7" i="31" s="1"/>
  <c r="AI18" i="35"/>
  <c r="AQ17" i="35"/>
  <c r="M120" i="40"/>
  <c r="N66" i="41"/>
  <c r="O55" i="41"/>
  <c r="P338" i="38"/>
  <c r="O357" i="38"/>
  <c r="AR31" i="31"/>
  <c r="AG43" i="31"/>
  <c r="AG44" i="31" s="1"/>
  <c r="G43" i="31"/>
  <c r="G49" i="31" s="1"/>
  <c r="H44" i="31"/>
  <c r="O58" i="41"/>
  <c r="O171" i="41"/>
  <c r="O173" i="41" s="1"/>
  <c r="O79" i="41"/>
  <c r="O175" i="41"/>
  <c r="O239" i="41"/>
  <c r="O100" i="41"/>
  <c r="W75" i="40"/>
  <c r="X74" i="40"/>
  <c r="AO31" i="31"/>
  <c r="N66" i="40"/>
  <c r="O55" i="40"/>
  <c r="Z5" i="31"/>
  <c r="F61" i="31"/>
  <c r="F57" i="31"/>
  <c r="F12" i="32"/>
  <c r="F75" i="31"/>
  <c r="F54" i="31"/>
  <c r="F28" i="31"/>
  <c r="F59" i="31"/>
  <c r="P21" i="32"/>
  <c r="F76" i="31"/>
  <c r="F60" i="31"/>
  <c r="F11" i="32"/>
  <c r="F21" i="32"/>
  <c r="F19" i="32"/>
  <c r="F37" i="31"/>
  <c r="F74" i="31"/>
  <c r="G62" i="31"/>
  <c r="F51" i="31"/>
  <c r="P23" i="32"/>
  <c r="F53" i="31"/>
  <c r="F52" i="31"/>
  <c r="F34" i="31"/>
  <c r="F23" i="31"/>
  <c r="F27" i="31"/>
  <c r="F9" i="32"/>
  <c r="F30" i="31"/>
  <c r="F24" i="31"/>
  <c r="F7" i="32"/>
  <c r="F29" i="32"/>
  <c r="F35" i="31"/>
  <c r="F29" i="31"/>
  <c r="F39" i="32"/>
  <c r="F38" i="31"/>
  <c r="F31" i="31"/>
  <c r="F36" i="31"/>
  <c r="F20" i="32"/>
  <c r="F39" i="31"/>
  <c r="P29" i="32"/>
  <c r="I20" i="31"/>
  <c r="F40" i="31"/>
  <c r="F30" i="32"/>
  <c r="F8" i="32"/>
  <c r="F22" i="32"/>
  <c r="P22" i="32"/>
  <c r="N87" i="40"/>
  <c r="O76" i="40"/>
  <c r="AB18" i="35"/>
  <c r="T19" i="35"/>
  <c r="M366" i="38"/>
  <c r="M379" i="38" s="1"/>
  <c r="N374" i="38"/>
  <c r="N375" i="38"/>
  <c r="N397" i="38"/>
  <c r="N394" i="38"/>
  <c r="N366" i="38" s="1"/>
  <c r="N379" i="38" s="1"/>
  <c r="N108" i="41"/>
  <c r="O97" i="41"/>
  <c r="AN31" i="31"/>
  <c r="M186" i="40"/>
  <c r="Q359" i="41"/>
  <c r="P379" i="41"/>
  <c r="P371" i="41"/>
  <c r="R22" i="35"/>
  <c r="S21" i="35"/>
  <c r="AL31" i="31"/>
  <c r="V5" i="31"/>
  <c r="Y5" i="31"/>
  <c r="P108" i="38"/>
  <c r="Q97" i="38"/>
  <c r="V53" i="40"/>
  <c r="U54" i="40"/>
  <c r="P3" i="41"/>
  <c r="P2" i="41"/>
  <c r="P6" i="41"/>
  <c r="P8" i="41"/>
  <c r="Q7" i="41"/>
  <c r="V30" i="41"/>
  <c r="U31" i="41"/>
  <c r="H20" i="31"/>
  <c r="N1" i="42"/>
  <c r="O2" i="42"/>
  <c r="N47" i="42"/>
  <c r="E26" i="35"/>
  <c r="D25" i="35"/>
  <c r="L25" i="35" s="1"/>
  <c r="AJ28" i="31"/>
  <c r="AJ27" i="31"/>
  <c r="AJ34" i="31"/>
  <c r="AJ45" i="31" s="1"/>
  <c r="AI45" i="31" s="1"/>
  <c r="AJ23" i="31"/>
  <c r="AJ24" i="31" s="1"/>
  <c r="AJ30" i="31"/>
  <c r="AJ29" i="31"/>
  <c r="N5" i="47"/>
  <c r="N6" i="47"/>
  <c r="N4" i="47"/>
  <c r="O3" i="47"/>
  <c r="O168" i="41"/>
  <c r="M415" i="38"/>
  <c r="M434" i="38"/>
  <c r="M414" i="38"/>
  <c r="O168" i="40"/>
  <c r="N177" i="40"/>
  <c r="Y95" i="40"/>
  <c r="X96" i="40"/>
  <c r="AG5" i="31"/>
  <c r="I31" i="32"/>
  <c r="AF5" i="31"/>
  <c r="AA5" i="31"/>
  <c r="R290" i="41" l="1"/>
  <c r="R334" i="41" s="1"/>
  <c r="S284" i="41"/>
  <c r="R288" i="41"/>
  <c r="R332" i="41" s="1"/>
  <c r="R286" i="41"/>
  <c r="R330" i="41" s="1"/>
  <c r="R285" i="41"/>
  <c r="R289" i="41"/>
  <c r="R291" i="41"/>
  <c r="R335" i="41" s="1"/>
  <c r="R287" i="41"/>
  <c r="R331" i="41" s="1"/>
  <c r="Q329" i="41"/>
  <c r="Q336" i="41" s="1"/>
  <c r="Q292" i="41"/>
  <c r="P323" i="38"/>
  <c r="P317" i="38"/>
  <c r="Q294" i="38"/>
  <c r="P328" i="38"/>
  <c r="Q277" i="40"/>
  <c r="Q308" i="40" s="1"/>
  <c r="O159" i="41"/>
  <c r="T74" i="38"/>
  <c r="S75" i="38"/>
  <c r="Q228" i="40"/>
  <c r="Y234" i="41"/>
  <c r="X235" i="41"/>
  <c r="N176" i="38"/>
  <c r="N177" i="38" s="1"/>
  <c r="N186" i="38" s="1"/>
  <c r="S286" i="40"/>
  <c r="S330" i="40" s="1"/>
  <c r="S288" i="40"/>
  <c r="S332" i="40" s="1"/>
  <c r="S289" i="40"/>
  <c r="S287" i="40"/>
  <c r="S331" i="40" s="1"/>
  <c r="S290" i="40"/>
  <c r="S334" i="40" s="1"/>
  <c r="S285" i="40"/>
  <c r="S291" i="40"/>
  <c r="S335" i="40" s="1"/>
  <c r="T284" i="40"/>
  <c r="U166" i="41"/>
  <c r="T167" i="41"/>
  <c r="R292" i="40"/>
  <c r="R329" i="40"/>
  <c r="R336" i="40" s="1"/>
  <c r="O228" i="41"/>
  <c r="T116" i="38"/>
  <c r="S117" i="38"/>
  <c r="S120" i="38" s="1"/>
  <c r="O363" i="40"/>
  <c r="O376" i="40" s="1"/>
  <c r="P363" i="41"/>
  <c r="P376" i="41" s="1"/>
  <c r="O415" i="40"/>
  <c r="O434" i="40"/>
  <c r="O406" i="40" s="1"/>
  <c r="O419" i="40" s="1"/>
  <c r="O425" i="40"/>
  <c r="O414" i="40"/>
  <c r="O430" i="40"/>
  <c r="O403" i="40" s="1"/>
  <c r="O416" i="40" s="1"/>
  <c r="O277" i="41"/>
  <c r="O308" i="41" s="1"/>
  <c r="P3" i="38"/>
  <c r="U30" i="38"/>
  <c r="T31" i="38"/>
  <c r="T32" i="38" s="1"/>
  <c r="Q357" i="40"/>
  <c r="R338" i="40"/>
  <c r="P394" i="40"/>
  <c r="P366" i="40" s="1"/>
  <c r="P374" i="40"/>
  <c r="P390" i="40"/>
  <c r="P385" i="40"/>
  <c r="P397" i="40"/>
  <c r="P391" i="40"/>
  <c r="P431" i="40" s="1"/>
  <c r="P375" i="40"/>
  <c r="U27" i="31"/>
  <c r="X96" i="38"/>
  <c r="Y95" i="38"/>
  <c r="P273" i="40"/>
  <c r="P433" i="40" s="1"/>
  <c r="R405" i="38"/>
  <c r="R418" i="38" s="1"/>
  <c r="R364" i="38"/>
  <c r="R404" i="38"/>
  <c r="R365" i="38"/>
  <c r="S140" i="38"/>
  <c r="R272" i="38"/>
  <c r="R227" i="38"/>
  <c r="R270" i="38"/>
  <c r="R275" i="38"/>
  <c r="R230" i="38"/>
  <c r="R155" i="38"/>
  <c r="R157" i="38" s="1"/>
  <c r="R212" i="38"/>
  <c r="R220" i="38" s="1"/>
  <c r="R156" i="38"/>
  <c r="R158" i="38"/>
  <c r="R142" i="38"/>
  <c r="R150" i="38" s="1"/>
  <c r="R257" i="38"/>
  <c r="R265" i="38" s="1"/>
  <c r="R350" i="38"/>
  <c r="R162" i="38"/>
  <c r="R225" i="38"/>
  <c r="R226" i="38" s="1"/>
  <c r="O393" i="41"/>
  <c r="O378" i="41"/>
  <c r="P350" i="41"/>
  <c r="P270" i="41"/>
  <c r="P225" i="41"/>
  <c r="P257" i="41"/>
  <c r="P265" i="41" s="1"/>
  <c r="P158" i="41"/>
  <c r="P227" i="41"/>
  <c r="P212" i="41"/>
  <c r="P220" i="41" s="1"/>
  <c r="P156" i="41"/>
  <c r="P155" i="41"/>
  <c r="P157" i="41" s="1"/>
  <c r="P365" i="41"/>
  <c r="P142" i="41"/>
  <c r="P150" i="41" s="1"/>
  <c r="P364" i="41"/>
  <c r="P230" i="41"/>
  <c r="Q140" i="41"/>
  <c r="P405" i="41"/>
  <c r="P418" i="41" s="1"/>
  <c r="P162" i="41"/>
  <c r="P404" i="41"/>
  <c r="P272" i="41"/>
  <c r="P275" i="41"/>
  <c r="Q159" i="40"/>
  <c r="Q393" i="38"/>
  <c r="Q378" i="38"/>
  <c r="Q432" i="38"/>
  <c r="Q417" i="38"/>
  <c r="Q228" i="38"/>
  <c r="Q393" i="40"/>
  <c r="Q378" i="40"/>
  <c r="Q392" i="40"/>
  <c r="Q377" i="40"/>
  <c r="Q417" i="40"/>
  <c r="Q432" i="40"/>
  <c r="P326" i="40"/>
  <c r="O432" i="41"/>
  <c r="O417" i="41"/>
  <c r="N273" i="41"/>
  <c r="N433" i="41" s="1"/>
  <c r="N325" i="41"/>
  <c r="N326" i="41" s="1"/>
  <c r="BC28" i="31"/>
  <c r="Q247" i="41"/>
  <c r="R236" i="41"/>
  <c r="O171" i="38"/>
  <c r="O173" i="38" s="1"/>
  <c r="O58" i="38"/>
  <c r="O175" i="38"/>
  <c r="O79" i="38"/>
  <c r="O239" i="38"/>
  <c r="O100" i="38"/>
  <c r="Q377" i="38"/>
  <c r="Q392" i="38"/>
  <c r="Q271" i="38"/>
  <c r="Q324" i="38"/>
  <c r="Q75" i="41"/>
  <c r="Q76" i="41" s="1"/>
  <c r="Q87" i="41" s="1"/>
  <c r="R74" i="41"/>
  <c r="Q277" i="38"/>
  <c r="Q308" i="38" s="1"/>
  <c r="O271" i="41"/>
  <c r="O325" i="41" s="1"/>
  <c r="O324" i="41"/>
  <c r="U28" i="31"/>
  <c r="Q271" i="40"/>
  <c r="Q324" i="40"/>
  <c r="R156" i="40"/>
  <c r="R158" i="40"/>
  <c r="R162" i="40"/>
  <c r="R142" i="40"/>
  <c r="R150" i="40" s="1"/>
  <c r="R270" i="40"/>
  <c r="R365" i="40"/>
  <c r="S140" i="40"/>
  <c r="R404" i="40"/>
  <c r="R350" i="40"/>
  <c r="R257" i="40"/>
  <c r="R265" i="40" s="1"/>
  <c r="R155" i="40"/>
  <c r="R212" i="40"/>
  <c r="R220" i="40" s="1"/>
  <c r="R364" i="40"/>
  <c r="R225" i="40"/>
  <c r="R275" i="40"/>
  <c r="R272" i="40"/>
  <c r="R405" i="40"/>
  <c r="R418" i="40" s="1"/>
  <c r="R227" i="40"/>
  <c r="R230" i="40"/>
  <c r="P2" i="38"/>
  <c r="Q7" i="38"/>
  <c r="P6" i="38"/>
  <c r="P8" i="38"/>
  <c r="Q159" i="38"/>
  <c r="O378" i="38"/>
  <c r="O393" i="38"/>
  <c r="O392" i="41"/>
  <c r="O377" i="41"/>
  <c r="O247" i="38"/>
  <c r="O66" i="38"/>
  <c r="Q100" i="40"/>
  <c r="Q239" i="40"/>
  <c r="Q175" i="40"/>
  <c r="Q79" i="40"/>
  <c r="Q58" i="40"/>
  <c r="Q171" i="40"/>
  <c r="Q173" i="40" s="1"/>
  <c r="Q53" i="38"/>
  <c r="P54" i="38"/>
  <c r="P55" i="38" s="1"/>
  <c r="R8" i="40"/>
  <c r="R2" i="40"/>
  <c r="R3" i="40"/>
  <c r="S7" i="40"/>
  <c r="R6" i="40"/>
  <c r="V30" i="40"/>
  <c r="U31" i="40"/>
  <c r="R53" i="41"/>
  <c r="Q54" i="41"/>
  <c r="AG24" i="35"/>
  <c r="AH23" i="35"/>
  <c r="Q168" i="38"/>
  <c r="T116" i="41"/>
  <c r="S117" i="41"/>
  <c r="R76" i="38"/>
  <c r="Q87" i="38"/>
  <c r="S235" i="40"/>
  <c r="T234" i="40"/>
  <c r="S290" i="38"/>
  <c r="S334" i="38" s="1"/>
  <c r="S287" i="38"/>
  <c r="S331" i="38" s="1"/>
  <c r="S285" i="38"/>
  <c r="T284" i="38"/>
  <c r="S289" i="38"/>
  <c r="S286" i="38"/>
  <c r="S330" i="38" s="1"/>
  <c r="S291" i="38"/>
  <c r="S335" i="38" s="1"/>
  <c r="S288" i="38"/>
  <c r="S332" i="38" s="1"/>
  <c r="R329" i="38"/>
  <c r="R336" i="38" s="1"/>
  <c r="R292" i="38"/>
  <c r="P235" i="38"/>
  <c r="Q234" i="38"/>
  <c r="T166" i="38"/>
  <c r="S167" i="38"/>
  <c r="S294" i="41"/>
  <c r="R323" i="41"/>
  <c r="R317" i="41"/>
  <c r="R328" i="41"/>
  <c r="T117" i="40"/>
  <c r="U116" i="40"/>
  <c r="X294" i="40"/>
  <c r="W317" i="40"/>
  <c r="W323" i="40"/>
  <c r="W328" i="40"/>
  <c r="B35" i="35"/>
  <c r="C34" i="35"/>
  <c r="Q397" i="41"/>
  <c r="Q385" i="41"/>
  <c r="Q375" i="41"/>
  <c r="Q374" i="41"/>
  <c r="Q391" i="41"/>
  <c r="Q431" i="41" s="1"/>
  <c r="Q390" i="41"/>
  <c r="Q394" i="41"/>
  <c r="Q366" i="41" s="1"/>
  <c r="P176" i="40"/>
  <c r="P425" i="41"/>
  <c r="P434" i="41"/>
  <c r="P406" i="41" s="1"/>
  <c r="P415" i="41"/>
  <c r="P414" i="41"/>
  <c r="P430" i="41"/>
  <c r="P403" i="41" s="1"/>
  <c r="P416" i="41" s="1"/>
  <c r="R357" i="41"/>
  <c r="S338" i="41"/>
  <c r="BC23" i="31"/>
  <c r="BC24" i="31" s="1"/>
  <c r="M27" i="31"/>
  <c r="M29" i="31"/>
  <c r="M23" i="31"/>
  <c r="M24" i="31" s="1"/>
  <c r="O176" i="41"/>
  <c r="T23" i="31"/>
  <c r="T24" i="31" s="1"/>
  <c r="O30" i="31"/>
  <c r="BC34" i="31"/>
  <c r="BC45" i="31" s="1"/>
  <c r="U34" i="31"/>
  <c r="T28" i="31"/>
  <c r="T34" i="31"/>
  <c r="T45" i="31" s="1"/>
  <c r="U30" i="31"/>
  <c r="U29" i="31"/>
  <c r="BC30" i="31"/>
  <c r="BC29" i="31"/>
  <c r="U23" i="31"/>
  <c r="U24" i="31" s="1"/>
  <c r="R30" i="31"/>
  <c r="T27" i="31"/>
  <c r="T29" i="31"/>
  <c r="T30" i="31"/>
  <c r="P23" i="31"/>
  <c r="P24" i="31" s="1"/>
  <c r="Q23" i="31"/>
  <c r="Q24" i="31" s="1"/>
  <c r="P27" i="31"/>
  <c r="Q34" i="31"/>
  <c r="Q45" i="31" s="1"/>
  <c r="Q86" i="31" s="1"/>
  <c r="P30" i="31"/>
  <c r="P29" i="31"/>
  <c r="J49" i="31"/>
  <c r="H49" i="31"/>
  <c r="F49" i="31"/>
  <c r="I49" i="31"/>
  <c r="N186" i="40"/>
  <c r="V31" i="41"/>
  <c r="W30" i="41"/>
  <c r="W53" i="40"/>
  <c r="V54" i="40"/>
  <c r="N28" i="31"/>
  <c r="O29" i="31"/>
  <c r="P168" i="40"/>
  <c r="O177" i="40"/>
  <c r="O4" i="47"/>
  <c r="P3" i="47"/>
  <c r="O5" i="47"/>
  <c r="O6" i="47"/>
  <c r="AJ31" i="31"/>
  <c r="AI31" i="31" s="1"/>
  <c r="Y28" i="31"/>
  <c r="Y27" i="31"/>
  <c r="Y34" i="31"/>
  <c r="Y45" i="31" s="1"/>
  <c r="Y23" i="31"/>
  <c r="Y24" i="31" s="1"/>
  <c r="Y30" i="31"/>
  <c r="Y29" i="31"/>
  <c r="I62" i="31"/>
  <c r="H62" i="31"/>
  <c r="F62" i="31"/>
  <c r="J62" i="31"/>
  <c r="Z27" i="31"/>
  <c r="Z28" i="31"/>
  <c r="Z34" i="31"/>
  <c r="Z45" i="31" s="1"/>
  <c r="Z23" i="31"/>
  <c r="Z24" i="31" s="1"/>
  <c r="Z29" i="31"/>
  <c r="Z30" i="31"/>
  <c r="BA28" i="31"/>
  <c r="BA34" i="31"/>
  <c r="BA45" i="31" s="1"/>
  <c r="BA27" i="31"/>
  <c r="BA23" i="31"/>
  <c r="BA24" i="31" s="1"/>
  <c r="BA30" i="31"/>
  <c r="BA29" i="31"/>
  <c r="J51" i="31"/>
  <c r="J74" i="31"/>
  <c r="J57" i="31"/>
  <c r="J75" i="31"/>
  <c r="J59" i="31"/>
  <c r="J52" i="31"/>
  <c r="J61" i="31"/>
  <c r="J54" i="31"/>
  <c r="J60" i="31"/>
  <c r="J53" i="31"/>
  <c r="R29" i="31"/>
  <c r="Q28" i="31"/>
  <c r="T95" i="41"/>
  <c r="S96" i="41"/>
  <c r="S30" i="31"/>
  <c r="N32" i="41"/>
  <c r="O47" i="42"/>
  <c r="O1" i="42"/>
  <c r="P2" i="42"/>
  <c r="O23" i="31"/>
  <c r="O24" i="31" s="1"/>
  <c r="S31" i="32"/>
  <c r="AJ53" i="32"/>
  <c r="R79" i="48"/>
  <c r="I41" i="32"/>
  <c r="M406" i="38"/>
  <c r="M419" i="38" s="1"/>
  <c r="E27" i="35"/>
  <c r="D26" i="35"/>
  <c r="L26" i="35" s="1"/>
  <c r="M88" i="31"/>
  <c r="M86" i="31"/>
  <c r="N34" i="31"/>
  <c r="N45" i="31" s="1"/>
  <c r="N120" i="40"/>
  <c r="BB34" i="31"/>
  <c r="BB45" i="31" s="1"/>
  <c r="BB28" i="31"/>
  <c r="BB23" i="31"/>
  <c r="BB24" i="31" s="1"/>
  <c r="BB27" i="31"/>
  <c r="BB30" i="31"/>
  <c r="BB29" i="31"/>
  <c r="Q120" i="41"/>
  <c r="R23" i="31"/>
  <c r="R24" i="31" s="1"/>
  <c r="Q27" i="31"/>
  <c r="S29" i="31"/>
  <c r="P239" i="41"/>
  <c r="P175" i="41"/>
  <c r="P58" i="41"/>
  <c r="P79" i="41"/>
  <c r="P171" i="41"/>
  <c r="P173" i="41" s="1"/>
  <c r="P100" i="41"/>
  <c r="P357" i="38"/>
  <c r="Q338" i="38"/>
  <c r="R379" i="40"/>
  <c r="R371" i="40"/>
  <c r="S359" i="40"/>
  <c r="O28" i="31"/>
  <c r="AG28" i="31"/>
  <c r="AG27" i="31"/>
  <c r="AG34" i="31"/>
  <c r="AG45" i="31" s="1"/>
  <c r="AG23" i="31"/>
  <c r="AG24" i="31" s="1"/>
  <c r="AG30" i="31"/>
  <c r="AG29" i="31"/>
  <c r="H75" i="31"/>
  <c r="H61" i="31"/>
  <c r="H51" i="31"/>
  <c r="H60" i="31"/>
  <c r="H57" i="31"/>
  <c r="H52" i="31"/>
  <c r="H59" i="31"/>
  <c r="H74" i="31"/>
  <c r="G20" i="31"/>
  <c r="H54" i="31"/>
  <c r="H53" i="31"/>
  <c r="Q108" i="38"/>
  <c r="R97" i="38"/>
  <c r="R23" i="35"/>
  <c r="S22" i="35"/>
  <c r="I52" i="31"/>
  <c r="I60" i="31"/>
  <c r="I75" i="31"/>
  <c r="I53" i="31"/>
  <c r="I54" i="31"/>
  <c r="I57" i="31"/>
  <c r="I61" i="31"/>
  <c r="I51" i="31"/>
  <c r="I74" i="31"/>
  <c r="I59" i="31"/>
  <c r="X75" i="40"/>
  <c r="Y74" i="40"/>
  <c r="O177" i="41"/>
  <c r="AZ34" i="31"/>
  <c r="AZ45" i="31" s="1"/>
  <c r="AZ28" i="31"/>
  <c r="AZ23" i="31"/>
  <c r="AZ24" i="31" s="1"/>
  <c r="AZ27" i="31"/>
  <c r="AZ30" i="31"/>
  <c r="AZ29" i="31"/>
  <c r="AD27" i="31"/>
  <c r="AD34" i="31"/>
  <c r="AD45" i="31" s="1"/>
  <c r="AD28" i="31"/>
  <c r="AD23" i="31"/>
  <c r="AD24" i="31" s="1"/>
  <c r="AD30" i="31"/>
  <c r="AD29" i="31"/>
  <c r="AC27" i="31"/>
  <c r="AC28" i="31"/>
  <c r="AC34" i="31"/>
  <c r="AC45" i="31" s="1"/>
  <c r="AC23" i="31"/>
  <c r="AC24" i="31" s="1"/>
  <c r="AC30" i="31"/>
  <c r="AC29" i="31"/>
  <c r="P9" i="41"/>
  <c r="S23" i="31"/>
  <c r="S24" i="31" s="1"/>
  <c r="AV34" i="31"/>
  <c r="AV45" i="31" s="1"/>
  <c r="AV28" i="31"/>
  <c r="AV27" i="31"/>
  <c r="AV23" i="31"/>
  <c r="AV24" i="31" s="1"/>
  <c r="AV30" i="31"/>
  <c r="AV29" i="31"/>
  <c r="AB28" i="31"/>
  <c r="AB27" i="31"/>
  <c r="AB34" i="31"/>
  <c r="AB45" i="31" s="1"/>
  <c r="AB23" i="31"/>
  <c r="AB24" i="31" s="1"/>
  <c r="AB30" i="31"/>
  <c r="AB29" i="31"/>
  <c r="AW28" i="31"/>
  <c r="AW34" i="31"/>
  <c r="AW45" i="31" s="1"/>
  <c r="AW27" i="31"/>
  <c r="AW23" i="31"/>
  <c r="AW24" i="31" s="1"/>
  <c r="AW30" i="31"/>
  <c r="AW29" i="31"/>
  <c r="O27" i="31"/>
  <c r="N414" i="38"/>
  <c r="N415" i="38"/>
  <c r="N434" i="38"/>
  <c r="N406" i="38" s="1"/>
  <c r="N419" i="38" s="1"/>
  <c r="N29" i="31"/>
  <c r="O66" i="40"/>
  <c r="P55" i="40"/>
  <c r="AU7" i="31"/>
  <c r="V7" i="31"/>
  <c r="Q411" i="41"/>
  <c r="R399" i="41"/>
  <c r="Q419" i="41"/>
  <c r="W166" i="40"/>
  <c r="V167" i="40"/>
  <c r="R34" i="31"/>
  <c r="R45" i="31" s="1"/>
  <c r="R86" i="31" s="1"/>
  <c r="C115" i="28" s="1"/>
  <c r="O247" i="40"/>
  <c r="P236" i="40"/>
  <c r="S34" i="31"/>
  <c r="S45" i="31" s="1"/>
  <c r="S86" i="31" s="1"/>
  <c r="C120" i="28" s="1"/>
  <c r="O394" i="38"/>
  <c r="O366" i="38" s="1"/>
  <c r="O379" i="38" s="1"/>
  <c r="O374" i="38"/>
  <c r="O397" i="38"/>
  <c r="O375" i="38"/>
  <c r="J31" i="32"/>
  <c r="AF28" i="31"/>
  <c r="AF27" i="31"/>
  <c r="AF34" i="31"/>
  <c r="AF45" i="31" s="1"/>
  <c r="AF23" i="31"/>
  <c r="AF24" i="31" s="1"/>
  <c r="AF30" i="31"/>
  <c r="AF29" i="31"/>
  <c r="AA34" i="31"/>
  <c r="AA45" i="31" s="1"/>
  <c r="AA27" i="31"/>
  <c r="AA28" i="31"/>
  <c r="AA23" i="31"/>
  <c r="AA24" i="31" s="1"/>
  <c r="AA30" i="31"/>
  <c r="AA29" i="31"/>
  <c r="Y96" i="40"/>
  <c r="Z95" i="40"/>
  <c r="Z96" i="40" s="1"/>
  <c r="P168" i="41"/>
  <c r="M28" i="31"/>
  <c r="O108" i="41"/>
  <c r="P97" i="41"/>
  <c r="O87" i="40"/>
  <c r="P76" i="40"/>
  <c r="N30" i="31"/>
  <c r="AQ18" i="35"/>
  <c r="AI19" i="35"/>
  <c r="AY28" i="31"/>
  <c r="AY34" i="31"/>
  <c r="AY45" i="31" s="1"/>
  <c r="AY27" i="31"/>
  <c r="AY23" i="31"/>
  <c r="AY24" i="31" s="1"/>
  <c r="AY30" i="31"/>
  <c r="AY29" i="31"/>
  <c r="P34" i="31"/>
  <c r="P45" i="31" s="1"/>
  <c r="R27" i="31"/>
  <c r="Q30" i="31"/>
  <c r="N9" i="38"/>
  <c r="N9" i="40"/>
  <c r="S27" i="31"/>
  <c r="P97" i="40"/>
  <c r="O108" i="40"/>
  <c r="Q379" i="41"/>
  <c r="Q371" i="41"/>
  <c r="R359" i="41"/>
  <c r="F43" i="31"/>
  <c r="U43" i="31"/>
  <c r="U44" i="31" s="1"/>
  <c r="G56" i="31"/>
  <c r="L32" i="40"/>
  <c r="AE27" i="31"/>
  <c r="AE34" i="31"/>
  <c r="AE45" i="31" s="1"/>
  <c r="AE28" i="31"/>
  <c r="AE23" i="31"/>
  <c r="AE24" i="31" s="1"/>
  <c r="AE30" i="31"/>
  <c r="AE29" i="31"/>
  <c r="N27" i="31"/>
  <c r="Q3" i="41"/>
  <c r="Q2" i="41"/>
  <c r="Q6" i="41"/>
  <c r="R7" i="41"/>
  <c r="Q8" i="41"/>
  <c r="O34" i="31"/>
  <c r="O45" i="31" s="1"/>
  <c r="M30" i="31"/>
  <c r="AB19" i="35"/>
  <c r="T20" i="35"/>
  <c r="N23" i="31"/>
  <c r="N24" i="31" s="1"/>
  <c r="G44" i="31"/>
  <c r="H45" i="31"/>
  <c r="O66" i="41"/>
  <c r="P55" i="41"/>
  <c r="AX34" i="31"/>
  <c r="AX45" i="31" s="1"/>
  <c r="AX28" i="31"/>
  <c r="AX27" i="31"/>
  <c r="AX23" i="31"/>
  <c r="AX24" i="31" s="1"/>
  <c r="AX30" i="31"/>
  <c r="AX29" i="31"/>
  <c r="P28" i="31"/>
  <c r="R28" i="31"/>
  <c r="Q29" i="31"/>
  <c r="S28" i="31"/>
  <c r="R292" i="41" l="1"/>
  <c r="R329" i="41"/>
  <c r="R336" i="41" s="1"/>
  <c r="S287" i="41"/>
  <c r="S331" i="41" s="1"/>
  <c r="T284" i="41"/>
  <c r="S290" i="41"/>
  <c r="S334" i="41" s="1"/>
  <c r="S288" i="41"/>
  <c r="S332" i="41" s="1"/>
  <c r="S289" i="41"/>
  <c r="S291" i="41"/>
  <c r="S335" i="41" s="1"/>
  <c r="S286" i="41"/>
  <c r="S330" i="41" s="1"/>
  <c r="S285" i="41"/>
  <c r="O176" i="38"/>
  <c r="O177" i="38" s="1"/>
  <c r="O186" i="38" s="1"/>
  <c r="R294" i="38"/>
  <c r="Q328" i="38"/>
  <c r="Q317" i="38"/>
  <c r="Q323" i="38"/>
  <c r="P363" i="40"/>
  <c r="P376" i="40" s="1"/>
  <c r="V166" i="41"/>
  <c r="U167" i="41"/>
  <c r="T291" i="40"/>
  <c r="T335" i="40" s="1"/>
  <c r="U284" i="40"/>
  <c r="T289" i="40"/>
  <c r="T287" i="40"/>
  <c r="T331" i="40" s="1"/>
  <c r="T288" i="40"/>
  <c r="T332" i="40" s="1"/>
  <c r="T285" i="40"/>
  <c r="T290" i="40"/>
  <c r="T334" i="40" s="1"/>
  <c r="T286" i="40"/>
  <c r="T330" i="40" s="1"/>
  <c r="J98" i="40"/>
  <c r="J103" i="40" s="1"/>
  <c r="T117" i="38"/>
  <c r="U116" i="38"/>
  <c r="S329" i="40"/>
  <c r="S336" i="40" s="1"/>
  <c r="S292" i="40"/>
  <c r="Z234" i="41"/>
  <c r="Z235" i="41" s="1"/>
  <c r="Y235" i="41"/>
  <c r="U74" i="38"/>
  <c r="T75" i="38"/>
  <c r="S338" i="40"/>
  <c r="R357" i="40"/>
  <c r="Q397" i="40"/>
  <c r="Q391" i="40"/>
  <c r="Q431" i="40" s="1"/>
  <c r="Q374" i="40"/>
  <c r="Q385" i="40"/>
  <c r="Q390" i="40"/>
  <c r="Q394" i="40"/>
  <c r="Q366" i="40" s="1"/>
  <c r="Q375" i="40"/>
  <c r="R277" i="40"/>
  <c r="R308" i="40" s="1"/>
  <c r="P159" i="41"/>
  <c r="P434" i="40"/>
  <c r="P406" i="40" s="1"/>
  <c r="P414" i="40"/>
  <c r="P415" i="40"/>
  <c r="P425" i="40"/>
  <c r="P430" i="40"/>
  <c r="P403" i="40" s="1"/>
  <c r="P416" i="40" s="1"/>
  <c r="Q176" i="40"/>
  <c r="V30" i="38"/>
  <c r="U31" i="38"/>
  <c r="U32" i="38" s="1"/>
  <c r="R228" i="38"/>
  <c r="Q363" i="41"/>
  <c r="Q376" i="41" s="1"/>
  <c r="R226" i="40"/>
  <c r="R228" i="40" s="1"/>
  <c r="R378" i="40"/>
  <c r="R393" i="40"/>
  <c r="P393" i="41"/>
  <c r="P378" i="41"/>
  <c r="P271" i="41"/>
  <c r="P273" i="41" s="1"/>
  <c r="P324" i="41"/>
  <c r="Y96" i="38"/>
  <c r="Z95" i="38"/>
  <c r="Z96" i="38" s="1"/>
  <c r="Q3" i="38"/>
  <c r="Q6" i="38"/>
  <c r="Q2" i="38"/>
  <c r="Q8" i="38"/>
  <c r="R7" i="38"/>
  <c r="R392" i="40"/>
  <c r="R377" i="40"/>
  <c r="R271" i="40"/>
  <c r="R324" i="40"/>
  <c r="P432" i="41"/>
  <c r="P417" i="41"/>
  <c r="P171" i="38"/>
  <c r="P173" i="38" s="1"/>
  <c r="P239" i="38"/>
  <c r="P58" i="38"/>
  <c r="P100" i="38"/>
  <c r="P79" i="38"/>
  <c r="P175" i="38"/>
  <c r="O326" i="41"/>
  <c r="R247" i="41"/>
  <c r="S236" i="41"/>
  <c r="T140" i="38"/>
  <c r="S404" i="38"/>
  <c r="S156" i="38"/>
  <c r="S142" i="38"/>
  <c r="S150" i="38" s="1"/>
  <c r="S272" i="38"/>
  <c r="S158" i="38"/>
  <c r="S225" i="38"/>
  <c r="S226" i="38" s="1"/>
  <c r="S227" i="38"/>
  <c r="S212" i="38"/>
  <c r="S220" i="38" s="1"/>
  <c r="S365" i="38"/>
  <c r="S350" i="38"/>
  <c r="S275" i="38"/>
  <c r="S405" i="38"/>
  <c r="S418" i="38" s="1"/>
  <c r="S270" i="38"/>
  <c r="S257" i="38"/>
  <c r="S265" i="38" s="1"/>
  <c r="S155" i="38"/>
  <c r="S157" i="38" s="1"/>
  <c r="S230" i="38"/>
  <c r="S162" i="38"/>
  <c r="S364" i="38"/>
  <c r="N98" i="40"/>
  <c r="N103" i="40" s="1"/>
  <c r="N104" i="40" s="1"/>
  <c r="R157" i="40"/>
  <c r="R159" i="40" s="1"/>
  <c r="O273" i="41"/>
  <c r="O433" i="41" s="1"/>
  <c r="R393" i="38"/>
  <c r="R378" i="38"/>
  <c r="K98" i="40"/>
  <c r="K103" i="40" s="1"/>
  <c r="K104" i="40" s="1"/>
  <c r="Q142" i="41"/>
  <c r="Q150" i="41" s="1"/>
  <c r="Q225" i="41"/>
  <c r="Q226" i="41" s="1"/>
  <c r="Q156" i="41"/>
  <c r="R140" i="41"/>
  <c r="Q404" i="41"/>
  <c r="Q350" i="41"/>
  <c r="Q212" i="41"/>
  <c r="Q220" i="41" s="1"/>
  <c r="Q155" i="41"/>
  <c r="Q405" i="41"/>
  <c r="Q418" i="41" s="1"/>
  <c r="Q162" i="41"/>
  <c r="Q275" i="41"/>
  <c r="Q364" i="41"/>
  <c r="Q365" i="41"/>
  <c r="Q230" i="41"/>
  <c r="Q158" i="41"/>
  <c r="Q227" i="41"/>
  <c r="Q270" i="41"/>
  <c r="Q257" i="41"/>
  <c r="Q265" i="41" s="1"/>
  <c r="Q272" i="41"/>
  <c r="R159" i="38"/>
  <c r="R417" i="38"/>
  <c r="R432" i="38"/>
  <c r="R75" i="41"/>
  <c r="R76" i="41" s="1"/>
  <c r="R87" i="41" s="1"/>
  <c r="S74" i="41"/>
  <c r="Q273" i="38"/>
  <c r="Q433" i="38" s="1"/>
  <c r="Q325" i="38"/>
  <c r="Q326" i="38" s="1"/>
  <c r="R392" i="38"/>
  <c r="R377" i="38"/>
  <c r="R432" i="40"/>
  <c r="R417" i="40"/>
  <c r="P377" i="41"/>
  <c r="P392" i="41"/>
  <c r="R277" i="38"/>
  <c r="R308" i="38" s="1"/>
  <c r="S272" i="40"/>
  <c r="S364" i="40"/>
  <c r="S225" i="40"/>
  <c r="S226" i="40" s="1"/>
  <c r="S212" i="40"/>
  <c r="S220" i="40" s="1"/>
  <c r="S270" i="40"/>
  <c r="S156" i="40"/>
  <c r="S350" i="40"/>
  <c r="S227" i="40"/>
  <c r="T140" i="40"/>
  <c r="S162" i="40"/>
  <c r="S158" i="40"/>
  <c r="S404" i="40"/>
  <c r="S257" i="40"/>
  <c r="S265" i="40" s="1"/>
  <c r="S230" i="40"/>
  <c r="S365" i="40"/>
  <c r="S405" i="40"/>
  <c r="S418" i="40" s="1"/>
  <c r="S155" i="40"/>
  <c r="S142" i="40"/>
  <c r="S150" i="40" s="1"/>
  <c r="S275" i="40"/>
  <c r="Q273" i="40"/>
  <c r="Q433" i="40" s="1"/>
  <c r="Q325" i="40"/>
  <c r="Q326" i="40" s="1"/>
  <c r="P277" i="41"/>
  <c r="P308" i="41" s="1"/>
  <c r="P226" i="41"/>
  <c r="P228" i="41" s="1"/>
  <c r="R324" i="38"/>
  <c r="R271" i="38"/>
  <c r="R325" i="38" s="1"/>
  <c r="T294" i="41"/>
  <c r="S323" i="41"/>
  <c r="S328" i="41"/>
  <c r="S317" i="41"/>
  <c r="U116" i="41"/>
  <c r="T117" i="41"/>
  <c r="R239" i="40"/>
  <c r="R79" i="40"/>
  <c r="R100" i="40"/>
  <c r="R175" i="40"/>
  <c r="R171" i="40"/>
  <c r="R173" i="40" s="1"/>
  <c r="R58" i="40"/>
  <c r="Q54" i="38"/>
  <c r="Q55" i="38" s="1"/>
  <c r="R53" i="38"/>
  <c r="P66" i="38"/>
  <c r="L98" i="40"/>
  <c r="L103" i="40" s="1"/>
  <c r="L104" i="40" s="1"/>
  <c r="C35" i="35"/>
  <c r="B36" i="35"/>
  <c r="AH24" i="35"/>
  <c r="AG25" i="35"/>
  <c r="S53" i="41"/>
  <c r="R54" i="41"/>
  <c r="W30" i="40"/>
  <c r="V31" i="40"/>
  <c r="U166" i="38"/>
  <c r="T167" i="38"/>
  <c r="R168" i="38"/>
  <c r="S357" i="41"/>
  <c r="T338" i="41"/>
  <c r="R234" i="38"/>
  <c r="Q235" i="38"/>
  <c r="T286" i="38"/>
  <c r="T330" i="38" s="1"/>
  <c r="T290" i="38"/>
  <c r="T334" i="38" s="1"/>
  <c r="T288" i="38"/>
  <c r="T332" i="38" s="1"/>
  <c r="T285" i="38"/>
  <c r="T291" i="38"/>
  <c r="T335" i="38" s="1"/>
  <c r="T289" i="38"/>
  <c r="T287" i="38"/>
  <c r="T331" i="38" s="1"/>
  <c r="U284" i="38"/>
  <c r="S76" i="38"/>
  <c r="R87" i="38"/>
  <c r="R397" i="41"/>
  <c r="R394" i="41"/>
  <c r="R366" i="41" s="1"/>
  <c r="R374" i="41"/>
  <c r="R391" i="41"/>
  <c r="R431" i="41" s="1"/>
  <c r="R375" i="41"/>
  <c r="R385" i="41"/>
  <c r="R390" i="41"/>
  <c r="S292" i="38"/>
  <c r="S329" i="38"/>
  <c r="S336" i="38" s="1"/>
  <c r="O98" i="40"/>
  <c r="O103" i="40" s="1"/>
  <c r="O104" i="40" s="1"/>
  <c r="X328" i="40"/>
  <c r="Y294" i="40"/>
  <c r="X323" i="40"/>
  <c r="X317" i="40"/>
  <c r="P236" i="38"/>
  <c r="T7" i="40"/>
  <c r="S3" i="40"/>
  <c r="S2" i="40"/>
  <c r="S6" i="40"/>
  <c r="S8" i="40"/>
  <c r="Q414" i="41"/>
  <c r="Q415" i="41"/>
  <c r="Q425" i="41"/>
  <c r="Q434" i="41"/>
  <c r="Q406" i="41" s="1"/>
  <c r="Q430" i="41"/>
  <c r="Q403" i="41" s="1"/>
  <c r="Q416" i="41" s="1"/>
  <c r="U117" i="40"/>
  <c r="V116" i="40"/>
  <c r="U234" i="40"/>
  <c r="T235" i="40"/>
  <c r="BC31" i="31"/>
  <c r="P31" i="31"/>
  <c r="T86" i="31"/>
  <c r="T88" i="31"/>
  <c r="U31" i="31"/>
  <c r="C113" i="28"/>
  <c r="T31" i="31"/>
  <c r="I76" i="31"/>
  <c r="I34" i="32" s="1"/>
  <c r="S31" i="31"/>
  <c r="BA31" i="31"/>
  <c r="M31" i="31"/>
  <c r="U45" i="31"/>
  <c r="U88" i="31" s="1"/>
  <c r="N31" i="31"/>
  <c r="AB31" i="31"/>
  <c r="Q55" i="41"/>
  <c r="P66" i="41"/>
  <c r="R120" i="41"/>
  <c r="N86" i="31"/>
  <c r="N88" i="31"/>
  <c r="P4" i="47"/>
  <c r="Q3" i="47"/>
  <c r="P5" i="47"/>
  <c r="P6" i="47"/>
  <c r="X30" i="41"/>
  <c r="W31" i="41"/>
  <c r="H31" i="32"/>
  <c r="O9" i="40"/>
  <c r="W167" i="40"/>
  <c r="X166" i="40"/>
  <c r="AW31" i="31"/>
  <c r="AC31" i="31"/>
  <c r="AD31" i="31"/>
  <c r="AN57" i="31"/>
  <c r="AE57" i="31"/>
  <c r="U57" i="31"/>
  <c r="AL57" i="31"/>
  <c r="AZ57" i="31"/>
  <c r="M57" i="31"/>
  <c r="AC57" i="31"/>
  <c r="BA57" i="31"/>
  <c r="AA57" i="31"/>
  <c r="AX57" i="31"/>
  <c r="AY57" i="31"/>
  <c r="Z57" i="31"/>
  <c r="AU57" i="31"/>
  <c r="AG57" i="31"/>
  <c r="O57" i="31"/>
  <c r="Q57" i="31"/>
  <c r="P57" i="31"/>
  <c r="BB57" i="31"/>
  <c r="AD57" i="31"/>
  <c r="S57" i="31"/>
  <c r="T57" i="31"/>
  <c r="AQ57" i="31"/>
  <c r="AJ57" i="31"/>
  <c r="BC57" i="31"/>
  <c r="AP57" i="31"/>
  <c r="N57" i="31"/>
  <c r="AK57" i="31"/>
  <c r="AO57" i="31"/>
  <c r="AF57" i="31"/>
  <c r="AB57" i="31"/>
  <c r="Y57" i="31"/>
  <c r="AV57" i="31"/>
  <c r="R57" i="31"/>
  <c r="AW57" i="31"/>
  <c r="AR57" i="31"/>
  <c r="AM57" i="31"/>
  <c r="Q31" i="31"/>
  <c r="R100" i="48"/>
  <c r="O9" i="38"/>
  <c r="AZ52" i="31"/>
  <c r="AJ52" i="31"/>
  <c r="AG52" i="31"/>
  <c r="O52" i="31"/>
  <c r="BB52" i="31"/>
  <c r="AD52" i="31"/>
  <c r="AC52" i="31"/>
  <c r="AN52" i="31"/>
  <c r="AK52" i="31"/>
  <c r="Y52" i="31"/>
  <c r="AX52" i="31"/>
  <c r="AP52" i="31"/>
  <c r="AR52" i="31"/>
  <c r="AM52" i="31"/>
  <c r="AE52" i="31"/>
  <c r="M52" i="31"/>
  <c r="AW52" i="31"/>
  <c r="AY52" i="31"/>
  <c r="AO52" i="31"/>
  <c r="S52" i="31"/>
  <c r="Q52" i="31"/>
  <c r="AL52" i="31"/>
  <c r="AB52" i="31"/>
  <c r="AA52" i="31"/>
  <c r="AV52" i="31"/>
  <c r="AF52" i="31"/>
  <c r="AQ52" i="31"/>
  <c r="U52" i="31"/>
  <c r="Z52" i="31"/>
  <c r="T52" i="31"/>
  <c r="AU52" i="31"/>
  <c r="N52" i="31"/>
  <c r="R52" i="31"/>
  <c r="BC52" i="31"/>
  <c r="P52" i="31"/>
  <c r="BA52" i="31"/>
  <c r="F44" i="31"/>
  <c r="G45" i="31"/>
  <c r="AA60" i="31"/>
  <c r="AB60" i="31"/>
  <c r="Y60" i="31"/>
  <c r="N60" i="31"/>
  <c r="AC60" i="31"/>
  <c r="T60" i="31"/>
  <c r="AX60" i="31"/>
  <c r="AK60" i="31"/>
  <c r="Q60" i="31"/>
  <c r="AQ60" i="31"/>
  <c r="S60" i="31"/>
  <c r="AN60" i="31"/>
  <c r="AM60" i="31"/>
  <c r="AY60" i="31"/>
  <c r="AJ60" i="31"/>
  <c r="BB60" i="31"/>
  <c r="AV60" i="31"/>
  <c r="AP60" i="31"/>
  <c r="R60" i="31"/>
  <c r="AF60" i="31"/>
  <c r="AE60" i="31"/>
  <c r="AL60" i="31"/>
  <c r="AD60" i="31"/>
  <c r="AG60" i="31"/>
  <c r="Z60" i="31"/>
  <c r="O60" i="31"/>
  <c r="BA60" i="31"/>
  <c r="M60" i="31"/>
  <c r="P60" i="31"/>
  <c r="U60" i="31"/>
  <c r="AR60" i="31"/>
  <c r="AZ60" i="31"/>
  <c r="AW60" i="31"/>
  <c r="BC60" i="31"/>
  <c r="AU60" i="31"/>
  <c r="AO60" i="31"/>
  <c r="U95" i="41"/>
  <c r="T96" i="41"/>
  <c r="O186" i="40"/>
  <c r="AZ49" i="31"/>
  <c r="R49" i="31"/>
  <c r="AO49" i="31"/>
  <c r="AL49" i="31"/>
  <c r="AW49" i="31"/>
  <c r="AU49" i="31"/>
  <c r="U49" i="31"/>
  <c r="AJ49" i="31"/>
  <c r="AP49" i="31"/>
  <c r="Z49" i="31"/>
  <c r="Q49" i="31"/>
  <c r="M49" i="31"/>
  <c r="AK49" i="31"/>
  <c r="AQ49" i="31"/>
  <c r="AD49" i="31"/>
  <c r="BC49" i="31"/>
  <c r="AB49" i="31"/>
  <c r="BB49" i="31"/>
  <c r="AY49" i="31"/>
  <c r="Y49" i="31"/>
  <c r="AC49" i="31"/>
  <c r="AF49" i="31"/>
  <c r="N49" i="31"/>
  <c r="AA49" i="31"/>
  <c r="AR49" i="31"/>
  <c r="P49" i="31"/>
  <c r="S49" i="31"/>
  <c r="T49" i="31"/>
  <c r="AV49" i="31"/>
  <c r="AM49" i="31"/>
  <c r="AE49" i="31"/>
  <c r="O49" i="31"/>
  <c r="AG49" i="31"/>
  <c r="BA49" i="31"/>
  <c r="AN49" i="31"/>
  <c r="AX49" i="31"/>
  <c r="J104" i="40"/>
  <c r="AX31" i="31"/>
  <c r="M32" i="40"/>
  <c r="AY31" i="31"/>
  <c r="Q168" i="41"/>
  <c r="AF31" i="31"/>
  <c r="O414" i="38"/>
  <c r="O434" i="38"/>
  <c r="O406" i="38" s="1"/>
  <c r="O419" i="38" s="1"/>
  <c r="O415" i="38"/>
  <c r="P247" i="40"/>
  <c r="Q236" i="40"/>
  <c r="AU34" i="31"/>
  <c r="AU45" i="31" s="1"/>
  <c r="AT45" i="31" s="1"/>
  <c r="AU28" i="31"/>
  <c r="AU23" i="31"/>
  <c r="AU24" i="31" s="1"/>
  <c r="AU27" i="31"/>
  <c r="AU30" i="31"/>
  <c r="AU29" i="31"/>
  <c r="Q9" i="41"/>
  <c r="T120" i="38"/>
  <c r="Y75" i="40"/>
  <c r="Z74" i="40"/>
  <c r="Z75" i="40" s="1"/>
  <c r="AO53" i="31"/>
  <c r="AA53" i="31"/>
  <c r="AL53" i="31"/>
  <c r="AM53" i="31"/>
  <c r="AG53" i="31"/>
  <c r="BB53" i="31"/>
  <c r="AV53" i="31"/>
  <c r="M53" i="31"/>
  <c r="AE53" i="31"/>
  <c r="AJ53" i="31"/>
  <c r="AC53" i="31"/>
  <c r="AR53" i="31"/>
  <c r="AZ53" i="31"/>
  <c r="R53" i="31"/>
  <c r="AY53" i="31"/>
  <c r="AB53" i="31"/>
  <c r="U53" i="31"/>
  <c r="S53" i="31"/>
  <c r="AN53" i="31"/>
  <c r="BC53" i="31"/>
  <c r="AW53" i="31"/>
  <c r="Q53" i="31"/>
  <c r="AF53" i="31"/>
  <c r="AK53" i="31"/>
  <c r="AD53" i="31"/>
  <c r="P53" i="31"/>
  <c r="Z53" i="31"/>
  <c r="AQ53" i="31"/>
  <c r="BA53" i="31"/>
  <c r="Y53" i="31"/>
  <c r="N53" i="31"/>
  <c r="AU53" i="31"/>
  <c r="O53" i="31"/>
  <c r="AP53" i="31"/>
  <c r="T53" i="31"/>
  <c r="AX53" i="31"/>
  <c r="AE51" i="31"/>
  <c r="AQ51" i="31"/>
  <c r="T51" i="31"/>
  <c r="AY51" i="31"/>
  <c r="AR51" i="31"/>
  <c r="AJ51" i="31"/>
  <c r="Q51" i="31"/>
  <c r="BB51" i="31"/>
  <c r="AF51" i="31"/>
  <c r="AG51" i="31"/>
  <c r="U51" i="31"/>
  <c r="AO51" i="31"/>
  <c r="AC51" i="31"/>
  <c r="BC51" i="31"/>
  <c r="Z51" i="31"/>
  <c r="AD51" i="31"/>
  <c r="BA51" i="31"/>
  <c r="AZ51" i="31"/>
  <c r="AL51" i="31"/>
  <c r="AM51" i="31"/>
  <c r="AA51" i="31"/>
  <c r="AX51" i="31"/>
  <c r="AV51" i="31"/>
  <c r="R51" i="31"/>
  <c r="M51" i="31"/>
  <c r="O51" i="31"/>
  <c r="AK51" i="31"/>
  <c r="AN51" i="31"/>
  <c r="Y51" i="31"/>
  <c r="AW51" i="31"/>
  <c r="S51" i="31"/>
  <c r="AU51" i="31"/>
  <c r="AB51" i="31"/>
  <c r="N51" i="31"/>
  <c r="P51" i="31"/>
  <c r="AP51" i="31"/>
  <c r="AG31" i="31"/>
  <c r="T359" i="40"/>
  <c r="S371" i="40"/>
  <c r="S379" i="40"/>
  <c r="O120" i="40"/>
  <c r="O32" i="41"/>
  <c r="Z31" i="31"/>
  <c r="N59" i="31"/>
  <c r="T59" i="31"/>
  <c r="AP59" i="31"/>
  <c r="M59" i="31"/>
  <c r="AA59" i="31"/>
  <c r="AD59" i="31"/>
  <c r="BA59" i="31"/>
  <c r="AJ59" i="31"/>
  <c r="AL59" i="31"/>
  <c r="AB59" i="31"/>
  <c r="AR59" i="31"/>
  <c r="Y59" i="31"/>
  <c r="U59" i="31"/>
  <c r="AX59" i="31"/>
  <c r="Q59" i="31"/>
  <c r="AO59" i="31"/>
  <c r="O59" i="31"/>
  <c r="AN59" i="31"/>
  <c r="BC59" i="31"/>
  <c r="AF59" i="31"/>
  <c r="AG59" i="31"/>
  <c r="AQ59" i="31"/>
  <c r="P59" i="31"/>
  <c r="AV59" i="31"/>
  <c r="AM59" i="31"/>
  <c r="AC59" i="31"/>
  <c r="Z59" i="31"/>
  <c r="AZ59" i="31"/>
  <c r="AW59" i="31"/>
  <c r="AU59" i="31"/>
  <c r="S59" i="31"/>
  <c r="BB59" i="31"/>
  <c r="AE59" i="31"/>
  <c r="R59" i="31"/>
  <c r="AK59" i="31"/>
  <c r="AY59" i="31"/>
  <c r="P374" i="38"/>
  <c r="P397" i="38"/>
  <c r="P375" i="38"/>
  <c r="R371" i="41"/>
  <c r="S359" i="41"/>
  <c r="R379" i="41"/>
  <c r="R6" i="41"/>
  <c r="R8" i="41"/>
  <c r="S7" i="41"/>
  <c r="R3" i="41"/>
  <c r="R2" i="41"/>
  <c r="F56" i="31"/>
  <c r="H56" i="31"/>
  <c r="J56" i="31"/>
  <c r="I56" i="31"/>
  <c r="AA31" i="31"/>
  <c r="P66" i="40"/>
  <c r="Q55" i="40"/>
  <c r="AZ54" i="31"/>
  <c r="AJ54" i="31"/>
  <c r="AL54" i="31"/>
  <c r="O54" i="31"/>
  <c r="AA54" i="31"/>
  <c r="Z54" i="31"/>
  <c r="BA54" i="31"/>
  <c r="AN54" i="31"/>
  <c r="BB54" i="31"/>
  <c r="AU54" i="31"/>
  <c r="AM54" i="31"/>
  <c r="AY54" i="31"/>
  <c r="AX54" i="31"/>
  <c r="U54" i="31"/>
  <c r="R54" i="31"/>
  <c r="AQ54" i="31"/>
  <c r="S54" i="31"/>
  <c r="AR54" i="31"/>
  <c r="T54" i="31"/>
  <c r="Q54" i="31"/>
  <c r="P54" i="31"/>
  <c r="AK54" i="31"/>
  <c r="BC54" i="31"/>
  <c r="AB54" i="31"/>
  <c r="AW54" i="31"/>
  <c r="AG54" i="31"/>
  <c r="AV54" i="31"/>
  <c r="AD54" i="31"/>
  <c r="AO54" i="31"/>
  <c r="N54" i="31"/>
  <c r="AP54" i="31"/>
  <c r="AC54" i="31"/>
  <c r="M54" i="31"/>
  <c r="Y54" i="31"/>
  <c r="AF54" i="31"/>
  <c r="AE54" i="31"/>
  <c r="U61" i="31"/>
  <c r="AU61" i="31"/>
  <c r="AB61" i="31"/>
  <c r="M61" i="31"/>
  <c r="O61" i="31"/>
  <c r="AJ61" i="31"/>
  <c r="AO61" i="31"/>
  <c r="AY61" i="31"/>
  <c r="AR61" i="31"/>
  <c r="AM61" i="31"/>
  <c r="AK61" i="31"/>
  <c r="BC61" i="31"/>
  <c r="N61" i="31"/>
  <c r="P61" i="31"/>
  <c r="AL61" i="31"/>
  <c r="AD61" i="31"/>
  <c r="AW61" i="31"/>
  <c r="BA61" i="31"/>
  <c r="T61" i="31"/>
  <c r="Z61" i="31"/>
  <c r="AA61" i="31"/>
  <c r="AV61" i="31"/>
  <c r="Q61" i="31"/>
  <c r="R61" i="31"/>
  <c r="AG61" i="31"/>
  <c r="AP61" i="31"/>
  <c r="AN61" i="31"/>
  <c r="AQ61" i="31"/>
  <c r="AC61" i="31"/>
  <c r="Y61" i="31"/>
  <c r="AZ61" i="31"/>
  <c r="AE61" i="31"/>
  <c r="S61" i="31"/>
  <c r="AF61" i="31"/>
  <c r="BB61" i="31"/>
  <c r="AX61" i="31"/>
  <c r="G287" i="40"/>
  <c r="H287" i="40"/>
  <c r="Q168" i="40"/>
  <c r="P177" i="40"/>
  <c r="W54" i="40"/>
  <c r="X53" i="40"/>
  <c r="O86" i="31"/>
  <c r="C116" i="28"/>
  <c r="J76" i="31"/>
  <c r="AB20" i="35"/>
  <c r="T21" i="35"/>
  <c r="AE31" i="31"/>
  <c r="P88" i="31"/>
  <c r="P86" i="31"/>
  <c r="C117" i="28" s="1"/>
  <c r="F98" i="40"/>
  <c r="F103" i="40" s="1"/>
  <c r="I98" i="40"/>
  <c r="I103" i="40" s="1"/>
  <c r="G98" i="40"/>
  <c r="G103" i="40" s="1"/>
  <c r="H98" i="40"/>
  <c r="H103" i="40" s="1"/>
  <c r="M98" i="40"/>
  <c r="M103" i="40" s="1"/>
  <c r="O31" i="31"/>
  <c r="AV31" i="31"/>
  <c r="AZ31" i="31"/>
  <c r="R24" i="35"/>
  <c r="S23" i="35"/>
  <c r="BB75" i="31"/>
  <c r="AD75" i="31"/>
  <c r="AX75" i="31"/>
  <c r="AZ75" i="31"/>
  <c r="U75" i="31"/>
  <c r="AV75" i="31"/>
  <c r="Z75" i="31"/>
  <c r="P75" i="31"/>
  <c r="AE75" i="31"/>
  <c r="AK75" i="31"/>
  <c r="AR75" i="31"/>
  <c r="AN75" i="31"/>
  <c r="AP75" i="31"/>
  <c r="AB75" i="31"/>
  <c r="R75" i="31"/>
  <c r="Q75" i="31"/>
  <c r="N75" i="31"/>
  <c r="AA75" i="31"/>
  <c r="AC75" i="31"/>
  <c r="AW75" i="31"/>
  <c r="AU75" i="31"/>
  <c r="M75" i="31"/>
  <c r="AQ75" i="31"/>
  <c r="AY75" i="31"/>
  <c r="BA75" i="31"/>
  <c r="Y75" i="31"/>
  <c r="AL75" i="31"/>
  <c r="AG75" i="31"/>
  <c r="S75" i="31"/>
  <c r="O75" i="31"/>
  <c r="AO75" i="31"/>
  <c r="AM75" i="31"/>
  <c r="T75" i="31"/>
  <c r="AF75" i="31"/>
  <c r="BC75" i="31"/>
  <c r="AJ75" i="31"/>
  <c r="P176" i="41"/>
  <c r="P177" i="41" s="1"/>
  <c r="X45" i="31"/>
  <c r="P87" i="40"/>
  <c r="Q76" i="40"/>
  <c r="R411" i="41"/>
  <c r="R419" i="41"/>
  <c r="S399" i="41"/>
  <c r="T31" i="32"/>
  <c r="J41" i="32"/>
  <c r="AK53" i="32"/>
  <c r="T79" i="48"/>
  <c r="P108" i="41"/>
  <c r="Q97" i="41"/>
  <c r="O186" i="41"/>
  <c r="Q171" i="41"/>
  <c r="Q173" i="41" s="1"/>
  <c r="Q239" i="41"/>
  <c r="Q175" i="41"/>
  <c r="Q100" i="41"/>
  <c r="Q58" i="41"/>
  <c r="Q79" i="41"/>
  <c r="P98" i="40"/>
  <c r="P103" i="40" s="1"/>
  <c r="Q97" i="40"/>
  <c r="P108" i="40"/>
  <c r="R31" i="31"/>
  <c r="AI20" i="35"/>
  <c r="AQ19" i="35"/>
  <c r="S97" i="38"/>
  <c r="R108" i="38"/>
  <c r="Q74" i="31"/>
  <c r="H76" i="31"/>
  <c r="AJ74" i="31"/>
  <c r="AR74" i="31"/>
  <c r="N74" i="31"/>
  <c r="T74" i="31"/>
  <c r="AK74" i="31"/>
  <c r="AB74" i="31"/>
  <c r="AG74" i="31"/>
  <c r="AL74" i="31"/>
  <c r="AX74" i="31"/>
  <c r="Z74" i="31"/>
  <c r="AE74" i="31"/>
  <c r="AN74" i="31"/>
  <c r="AD74" i="31"/>
  <c r="AM74" i="31"/>
  <c r="AZ74" i="31"/>
  <c r="AF74" i="31"/>
  <c r="BA74" i="31"/>
  <c r="P74" i="31"/>
  <c r="U74" i="31"/>
  <c r="AW74" i="31"/>
  <c r="BC74" i="31"/>
  <c r="O74" i="31"/>
  <c r="AA74" i="31"/>
  <c r="R74" i="31"/>
  <c r="Y74" i="31"/>
  <c r="AV74" i="31"/>
  <c r="M74" i="31"/>
  <c r="AP74" i="31"/>
  <c r="AC74" i="31"/>
  <c r="BB74" i="31"/>
  <c r="AO74" i="31"/>
  <c r="AQ74" i="31"/>
  <c r="AY74" i="31"/>
  <c r="S74" i="31"/>
  <c r="AU74" i="31"/>
  <c r="Q357" i="38"/>
  <c r="R338" i="38"/>
  <c r="BB31" i="31"/>
  <c r="E28" i="35"/>
  <c r="D27" i="35"/>
  <c r="L27" i="35" s="1"/>
  <c r="P47" i="42"/>
  <c r="P1" i="42"/>
  <c r="Q2" i="42"/>
  <c r="BC62" i="31"/>
  <c r="AD62" i="31"/>
  <c r="AV62" i="31"/>
  <c r="AX62" i="31"/>
  <c r="Z62" i="31"/>
  <c r="T62" i="31"/>
  <c r="AZ62" i="31"/>
  <c r="AU62" i="31"/>
  <c r="AE62" i="31"/>
  <c r="P62" i="31"/>
  <c r="AQ62" i="31"/>
  <c r="BB62" i="31"/>
  <c r="AF62" i="31"/>
  <c r="BA62" i="31"/>
  <c r="U62" i="31"/>
  <c r="S62" i="31"/>
  <c r="Y62" i="31"/>
  <c r="AW62" i="31"/>
  <c r="AY62" i="31"/>
  <c r="R62" i="31"/>
  <c r="AJ62" i="31"/>
  <c r="AK62" i="31"/>
  <c r="M62" i="31"/>
  <c r="AR62" i="31"/>
  <c r="AA62" i="31"/>
  <c r="AP62" i="31"/>
  <c r="AB62" i="31"/>
  <c r="AL62" i="31"/>
  <c r="Q62" i="31"/>
  <c r="AM62" i="31"/>
  <c r="N62" i="31"/>
  <c r="O62" i="31"/>
  <c r="AC62" i="31"/>
  <c r="AO62" i="31"/>
  <c r="AN62" i="31"/>
  <c r="AG62" i="31"/>
  <c r="Y31" i="31"/>
  <c r="C118" i="28" l="1"/>
  <c r="T291" i="41"/>
  <c r="T335" i="41" s="1"/>
  <c r="T286" i="41"/>
  <c r="T330" i="41" s="1"/>
  <c r="U284" i="41"/>
  <c r="T289" i="41"/>
  <c r="T287" i="41"/>
  <c r="T331" i="41" s="1"/>
  <c r="T290" i="41"/>
  <c r="T334" i="41" s="1"/>
  <c r="T288" i="41"/>
  <c r="T332" i="41" s="1"/>
  <c r="T285" i="41"/>
  <c r="S329" i="41"/>
  <c r="S336" i="41" s="1"/>
  <c r="S292" i="41"/>
  <c r="Q76" i="31"/>
  <c r="P176" i="38"/>
  <c r="P177" i="38" s="1"/>
  <c r="P186" i="38" s="1"/>
  <c r="R317" i="38"/>
  <c r="R323" i="38"/>
  <c r="R328" i="38"/>
  <c r="S294" i="38"/>
  <c r="Y76" i="31"/>
  <c r="S228" i="40"/>
  <c r="R98" i="38"/>
  <c r="G237" i="41"/>
  <c r="G242" i="41" s="1"/>
  <c r="G243" i="41" s="1"/>
  <c r="R237" i="41"/>
  <c r="R273" i="38"/>
  <c r="Q363" i="40"/>
  <c r="Q376" i="40" s="1"/>
  <c r="R325" i="40"/>
  <c r="T329" i="40"/>
  <c r="T336" i="40" s="1"/>
  <c r="T292" i="40"/>
  <c r="U117" i="38"/>
  <c r="U120" i="38" s="1"/>
  <c r="V116" i="38"/>
  <c r="R363" i="41"/>
  <c r="R376" i="41" s="1"/>
  <c r="K237" i="41"/>
  <c r="K242" i="41" s="1"/>
  <c r="K243" i="41" s="1"/>
  <c r="V74" i="38"/>
  <c r="U75" i="38"/>
  <c r="V284" i="40"/>
  <c r="U287" i="40"/>
  <c r="U331" i="40" s="1"/>
  <c r="U288" i="40"/>
  <c r="U332" i="40" s="1"/>
  <c r="U290" i="40"/>
  <c r="U334" i="40" s="1"/>
  <c r="U291" i="40"/>
  <c r="U335" i="40" s="1"/>
  <c r="U286" i="40"/>
  <c r="U330" i="40" s="1"/>
  <c r="U285" i="40"/>
  <c r="U289" i="40"/>
  <c r="O237" i="41"/>
  <c r="O242" i="41" s="1"/>
  <c r="O243" i="41" s="1"/>
  <c r="L237" i="41"/>
  <c r="L242" i="41" s="1"/>
  <c r="L243" i="41" s="1"/>
  <c r="M237" i="41"/>
  <c r="M242" i="41" s="1"/>
  <c r="M243" i="41" s="1"/>
  <c r="I237" i="41"/>
  <c r="I242" i="41" s="1"/>
  <c r="I243" i="41" s="1"/>
  <c r="N237" i="41"/>
  <c r="N242" i="41" s="1"/>
  <c r="N243" i="41" s="1"/>
  <c r="H237" i="41"/>
  <c r="H242" i="41" s="1"/>
  <c r="H243" i="41" s="1"/>
  <c r="P237" i="41"/>
  <c r="P242" i="41" s="1"/>
  <c r="P243" i="41" s="1"/>
  <c r="J237" i="41"/>
  <c r="J242" i="41" s="1"/>
  <c r="J243" i="41" s="1"/>
  <c r="Q237" i="41"/>
  <c r="Q242" i="41" s="1"/>
  <c r="Q243" i="41" s="1"/>
  <c r="F237" i="41"/>
  <c r="F242" i="41" s="1"/>
  <c r="F243" i="41" s="1"/>
  <c r="V167" i="41"/>
  <c r="W166" i="41"/>
  <c r="Q277" i="41"/>
  <c r="Q308" i="41" s="1"/>
  <c r="R433" i="38"/>
  <c r="S228" i="38"/>
  <c r="AR76" i="31"/>
  <c r="Q414" i="40"/>
  <c r="Q425" i="40"/>
  <c r="Q434" i="40"/>
  <c r="Q406" i="40" s="1"/>
  <c r="Q415" i="40"/>
  <c r="Q430" i="40"/>
  <c r="Q403" i="40" s="1"/>
  <c r="Q416" i="40" s="1"/>
  <c r="W30" i="38"/>
  <c r="V31" i="38"/>
  <c r="V32" i="38" s="1"/>
  <c r="R375" i="40"/>
  <c r="R397" i="40"/>
  <c r="R374" i="40"/>
  <c r="R391" i="40"/>
  <c r="R431" i="40" s="1"/>
  <c r="R394" i="40"/>
  <c r="R366" i="40" s="1"/>
  <c r="R385" i="40"/>
  <c r="R390" i="40"/>
  <c r="T338" i="40"/>
  <c r="S357" i="40"/>
  <c r="P433" i="41"/>
  <c r="S277" i="40"/>
  <c r="S308" i="40" s="1"/>
  <c r="Q378" i="41"/>
  <c r="Q393" i="41"/>
  <c r="Q417" i="41"/>
  <c r="Q432" i="41"/>
  <c r="S377" i="38"/>
  <c r="S392" i="38"/>
  <c r="R273" i="40"/>
  <c r="R433" i="40" s="1"/>
  <c r="S392" i="40"/>
  <c r="S377" i="40"/>
  <c r="Q392" i="41"/>
  <c r="Q377" i="41"/>
  <c r="R257" i="41"/>
  <c r="R265" i="41" s="1"/>
  <c r="R365" i="41"/>
  <c r="R272" i="41"/>
  <c r="R364" i="41"/>
  <c r="R230" i="41"/>
  <c r="R156" i="41"/>
  <c r="R405" i="41"/>
  <c r="R418" i="41" s="1"/>
  <c r="R142" i="41"/>
  <c r="R150" i="41" s="1"/>
  <c r="R275" i="41"/>
  <c r="R404" i="41"/>
  <c r="R155" i="41"/>
  <c r="R157" i="41" s="1"/>
  <c r="R350" i="41"/>
  <c r="S140" i="41"/>
  <c r="R227" i="41"/>
  <c r="R212" i="41"/>
  <c r="R220" i="41" s="1"/>
  <c r="R270" i="41"/>
  <c r="R162" i="41"/>
  <c r="R225" i="41"/>
  <c r="R226" i="41" s="1"/>
  <c r="R158" i="41"/>
  <c r="S393" i="38"/>
  <c r="S378" i="38"/>
  <c r="S417" i="38"/>
  <c r="S432" i="38"/>
  <c r="N77" i="40"/>
  <c r="N82" i="40" s="1"/>
  <c r="R326" i="38"/>
  <c r="S157" i="40"/>
  <c r="S159" i="40" s="1"/>
  <c r="T405" i="40"/>
  <c r="T418" i="40" s="1"/>
  <c r="T404" i="40"/>
  <c r="T156" i="40"/>
  <c r="T227" i="40"/>
  <c r="T272" i="40"/>
  <c r="T270" i="40"/>
  <c r="T155" i="40"/>
  <c r="T142" i="40"/>
  <c r="T150" i="40" s="1"/>
  <c r="T365" i="40"/>
  <c r="T275" i="40"/>
  <c r="U140" i="40"/>
  <c r="T230" i="40"/>
  <c r="T212" i="40"/>
  <c r="T220" i="40" s="1"/>
  <c r="T158" i="40"/>
  <c r="T225" i="40"/>
  <c r="T350" i="40"/>
  <c r="T364" i="40"/>
  <c r="T257" i="40"/>
  <c r="T265" i="40" s="1"/>
  <c r="T162" i="40"/>
  <c r="T158" i="38"/>
  <c r="T275" i="38"/>
  <c r="T365" i="38"/>
  <c r="T156" i="38"/>
  <c r="T212" i="38"/>
  <c r="T220" i="38" s="1"/>
  <c r="T257" i="38"/>
  <c r="T265" i="38" s="1"/>
  <c r="U140" i="38"/>
  <c r="T404" i="38"/>
  <c r="T364" i="38"/>
  <c r="T155" i="38"/>
  <c r="T157" i="38" s="1"/>
  <c r="T227" i="38"/>
  <c r="T162" i="38"/>
  <c r="T350" i="38"/>
  <c r="T405" i="38"/>
  <c r="T418" i="38" s="1"/>
  <c r="T272" i="38"/>
  <c r="T270" i="38"/>
  <c r="T142" i="38"/>
  <c r="T150" i="38" s="1"/>
  <c r="T230" i="38"/>
  <c r="T225" i="38"/>
  <c r="T226" i="38" s="1"/>
  <c r="T228" i="38" s="1"/>
  <c r="K98" i="38"/>
  <c r="K103" i="38" s="1"/>
  <c r="K104" i="38" s="1"/>
  <c r="J98" i="38"/>
  <c r="J103" i="38" s="1"/>
  <c r="J104" i="38" s="1"/>
  <c r="L98" i="38"/>
  <c r="L103" i="38" s="1"/>
  <c r="L104" i="38" s="1"/>
  <c r="O98" i="38"/>
  <c r="O103" i="38" s="1"/>
  <c r="O104" i="38" s="1"/>
  <c r="Q98" i="38"/>
  <c r="N98" i="38"/>
  <c r="N103" i="38" s="1"/>
  <c r="N104" i="38" s="1"/>
  <c r="M98" i="38"/>
  <c r="M103" i="38" s="1"/>
  <c r="M104" i="38" s="1"/>
  <c r="H98" i="38"/>
  <c r="H103" i="38" s="1"/>
  <c r="H104" i="38" s="1"/>
  <c r="G98" i="38"/>
  <c r="G103" i="38" s="1"/>
  <c r="G104" i="38" s="1"/>
  <c r="F98" i="38"/>
  <c r="F103" i="38" s="1"/>
  <c r="F104" i="38" s="1"/>
  <c r="I98" i="38"/>
  <c r="I103" i="38" s="1"/>
  <c r="I104" i="38" s="1"/>
  <c r="Q228" i="41"/>
  <c r="S159" i="38"/>
  <c r="S237" i="41"/>
  <c r="T236" i="41"/>
  <c r="S247" i="41"/>
  <c r="S378" i="40"/>
  <c r="S393" i="40"/>
  <c r="Q271" i="41"/>
  <c r="Q273" i="41" s="1"/>
  <c r="Q324" i="41"/>
  <c r="R3" i="38"/>
  <c r="S7" i="38"/>
  <c r="R6" i="38"/>
  <c r="R8" i="38"/>
  <c r="R2" i="38"/>
  <c r="T74" i="41"/>
  <c r="S75" i="41"/>
  <c r="S76" i="41" s="1"/>
  <c r="S87" i="41" s="1"/>
  <c r="Q157" i="41"/>
  <c r="Q159" i="41" s="1"/>
  <c r="S324" i="38"/>
  <c r="S271" i="38"/>
  <c r="S325" i="38" s="1"/>
  <c r="P325" i="41"/>
  <c r="P326" i="41" s="1"/>
  <c r="S271" i="40"/>
  <c r="S324" i="40"/>
  <c r="Q58" i="38"/>
  <c r="Q239" i="38"/>
  <c r="Q171" i="38"/>
  <c r="Q173" i="38" s="1"/>
  <c r="Q175" i="38"/>
  <c r="Q79" i="38"/>
  <c r="Q100" i="38"/>
  <c r="S417" i="40"/>
  <c r="S432" i="40"/>
  <c r="S277" i="38"/>
  <c r="S308" i="38" s="1"/>
  <c r="R326" i="40"/>
  <c r="P98" i="38"/>
  <c r="P103" i="38" s="1"/>
  <c r="P104" i="38" s="1"/>
  <c r="T76" i="38"/>
  <c r="S87" i="38"/>
  <c r="AG26" i="35"/>
  <c r="AH25" i="35"/>
  <c r="R434" i="41"/>
  <c r="R406" i="41" s="1"/>
  <c r="R430" i="41"/>
  <c r="R403" i="41" s="1"/>
  <c r="R416" i="41" s="1"/>
  <c r="R414" i="41"/>
  <c r="R415" i="41"/>
  <c r="R425" i="41"/>
  <c r="U287" i="38"/>
  <c r="U331" i="38" s="1"/>
  <c r="U290" i="38"/>
  <c r="U334" i="38" s="1"/>
  <c r="U285" i="38"/>
  <c r="U291" i="38"/>
  <c r="U335" i="38" s="1"/>
  <c r="V284" i="38"/>
  <c r="U289" i="38"/>
  <c r="U288" i="38"/>
  <c r="U332" i="38" s="1"/>
  <c r="U286" i="38"/>
  <c r="U330" i="38" s="1"/>
  <c r="S168" i="38"/>
  <c r="V234" i="40"/>
  <c r="U235" i="40"/>
  <c r="Q66" i="38"/>
  <c r="T323" i="41"/>
  <c r="T328" i="41"/>
  <c r="U294" i="41"/>
  <c r="T317" i="41"/>
  <c r="V117" i="40"/>
  <c r="W116" i="40"/>
  <c r="S171" i="40"/>
  <c r="S173" i="40" s="1"/>
  <c r="S79" i="40"/>
  <c r="S239" i="40"/>
  <c r="S100" i="40"/>
  <c r="S58" i="40"/>
  <c r="S175" i="40"/>
  <c r="P247" i="38"/>
  <c r="Q236" i="38"/>
  <c r="R235" i="38"/>
  <c r="S234" i="38"/>
  <c r="Y328" i="40"/>
  <c r="Y323" i="40"/>
  <c r="Z294" i="40"/>
  <c r="Y317" i="40"/>
  <c r="T357" i="41"/>
  <c r="U338" i="41"/>
  <c r="S53" i="38"/>
  <c r="R54" i="38"/>
  <c r="R55" i="38" s="1"/>
  <c r="T2" i="40"/>
  <c r="T6" i="40"/>
  <c r="U7" i="40"/>
  <c r="T3" i="40"/>
  <c r="T8" i="40"/>
  <c r="T329" i="38"/>
  <c r="T336" i="38" s="1"/>
  <c r="T292" i="38"/>
  <c r="S397" i="41"/>
  <c r="S390" i="41"/>
  <c r="S375" i="41"/>
  <c r="S374" i="41"/>
  <c r="S391" i="41"/>
  <c r="S431" i="41" s="1"/>
  <c r="S394" i="41"/>
  <c r="S366" i="41" s="1"/>
  <c r="S385" i="41"/>
  <c r="X30" i="40"/>
  <c r="W31" i="40"/>
  <c r="C36" i="35"/>
  <c r="B37" i="35"/>
  <c r="V166" i="38"/>
  <c r="U167" i="38"/>
  <c r="U117" i="41"/>
  <c r="V116" i="41"/>
  <c r="T53" i="41"/>
  <c r="S54" i="41"/>
  <c r="R176" i="40"/>
  <c r="U86" i="31"/>
  <c r="C119" i="28" s="1"/>
  <c r="BB76" i="31"/>
  <c r="BA76" i="31"/>
  <c r="AE76" i="31"/>
  <c r="N76" i="31"/>
  <c r="Z76" i="31"/>
  <c r="AQ76" i="31"/>
  <c r="R76" i="31"/>
  <c r="AX76" i="31"/>
  <c r="AO76" i="31"/>
  <c r="AD76" i="31"/>
  <c r="AK76" i="31"/>
  <c r="T76" i="31"/>
  <c r="S76" i="31"/>
  <c r="AL76" i="31"/>
  <c r="AA76" i="31"/>
  <c r="O76" i="31"/>
  <c r="AM76" i="31"/>
  <c r="AB76" i="31"/>
  <c r="AV76" i="31"/>
  <c r="P76" i="31"/>
  <c r="M76" i="31"/>
  <c r="AY76" i="31"/>
  <c r="AJ76" i="31"/>
  <c r="AF76" i="31"/>
  <c r="N83" i="40"/>
  <c r="AU31" i="31"/>
  <c r="AT31" i="31" s="1"/>
  <c r="N32" i="40"/>
  <c r="V95" i="41"/>
  <c r="U96" i="41"/>
  <c r="P9" i="40"/>
  <c r="R55" i="41"/>
  <c r="Q66" i="41"/>
  <c r="E29" i="35"/>
  <c r="D28" i="35"/>
  <c r="L28" i="35" s="1"/>
  <c r="Q108" i="40"/>
  <c r="Q98" i="40"/>
  <c r="Q103" i="40" s="1"/>
  <c r="R97" i="40"/>
  <c r="S419" i="41"/>
  <c r="T399" i="41"/>
  <c r="S411" i="41"/>
  <c r="H34" i="32"/>
  <c r="G331" i="40"/>
  <c r="S379" i="41"/>
  <c r="T359" i="41"/>
  <c r="S371" i="41"/>
  <c r="P120" i="40"/>
  <c r="P9" i="38"/>
  <c r="Y166" i="40"/>
  <c r="X167" i="40"/>
  <c r="S120" i="41"/>
  <c r="P186" i="41"/>
  <c r="R97" i="41"/>
  <c r="Q108" i="41"/>
  <c r="S3" i="41"/>
  <c r="T7" i="41"/>
  <c r="S6" i="41"/>
  <c r="S8" i="41"/>
  <c r="S2" i="41"/>
  <c r="I44" i="32"/>
  <c r="AJ56" i="32"/>
  <c r="R82" i="48"/>
  <c r="S34" i="32"/>
  <c r="R103" i="48" s="1"/>
  <c r="R168" i="41"/>
  <c r="G50" i="31"/>
  <c r="F45" i="31"/>
  <c r="G104" i="40"/>
  <c r="H331" i="40"/>
  <c r="R58" i="41"/>
  <c r="R175" i="41"/>
  <c r="R171" i="41"/>
  <c r="R173" i="41" s="1"/>
  <c r="R79" i="41"/>
  <c r="R239" i="41"/>
  <c r="R242" i="41" s="1"/>
  <c r="R100" i="41"/>
  <c r="P104" i="40"/>
  <c r="AG76" i="31"/>
  <c r="AQ20" i="35"/>
  <c r="AI21" i="35"/>
  <c r="G287" i="41"/>
  <c r="H287" i="41"/>
  <c r="P77" i="40"/>
  <c r="P82" i="40" s="1"/>
  <c r="AB21" i="35"/>
  <c r="T22" i="35"/>
  <c r="P415" i="38"/>
  <c r="P414" i="38"/>
  <c r="U359" i="40"/>
  <c r="T379" i="40"/>
  <c r="T371" i="40"/>
  <c r="Y53" i="40"/>
  <c r="X54" i="40"/>
  <c r="F104" i="40"/>
  <c r="R168" i="40"/>
  <c r="Q177" i="40"/>
  <c r="X31" i="31"/>
  <c r="S338" i="38"/>
  <c r="R357" i="38"/>
  <c r="AC76" i="31"/>
  <c r="BC76" i="31"/>
  <c r="Q176" i="41"/>
  <c r="Q177" i="41" s="1"/>
  <c r="T100" i="48"/>
  <c r="Q87" i="40"/>
  <c r="R76" i="40"/>
  <c r="Q77" i="40"/>
  <c r="Q82" i="40" s="1"/>
  <c r="Q66" i="40"/>
  <c r="R55" i="40"/>
  <c r="R9" i="41"/>
  <c r="P186" i="40"/>
  <c r="O77" i="40"/>
  <c r="O82" i="40" s="1"/>
  <c r="L77" i="40"/>
  <c r="L82" i="40" s="1"/>
  <c r="K77" i="40"/>
  <c r="K82" i="40" s="1"/>
  <c r="J77" i="40"/>
  <c r="J82" i="40" s="1"/>
  <c r="M77" i="40"/>
  <c r="M82" i="40" s="1"/>
  <c r="J34" i="32"/>
  <c r="AZ76" i="31"/>
  <c r="Q385" i="38"/>
  <c r="Q390" i="38"/>
  <c r="Q397" i="38"/>
  <c r="Q391" i="38"/>
  <c r="Q431" i="38" s="1"/>
  <c r="Q394" i="38"/>
  <c r="Q366" i="38" s="1"/>
  <c r="Q375" i="38"/>
  <c r="Q374" i="38"/>
  <c r="AP76" i="31"/>
  <c r="AW76" i="31"/>
  <c r="AN76" i="31"/>
  <c r="T97" i="38"/>
  <c r="S108" i="38"/>
  <c r="S98" i="38"/>
  <c r="M104" i="40"/>
  <c r="AU56" i="31"/>
  <c r="AL56" i="31"/>
  <c r="AR56" i="31"/>
  <c r="AJ56" i="31"/>
  <c r="U56" i="31"/>
  <c r="AZ56" i="31"/>
  <c r="AA56" i="31"/>
  <c r="AC56" i="31"/>
  <c r="AO56" i="31"/>
  <c r="AV56" i="31"/>
  <c r="Y56" i="31"/>
  <c r="O56" i="31"/>
  <c r="P56" i="31"/>
  <c r="AF56" i="31"/>
  <c r="AE56" i="31"/>
  <c r="T56" i="31"/>
  <c r="AB56" i="31"/>
  <c r="AX56" i="31"/>
  <c r="BB56" i="31"/>
  <c r="R56" i="31"/>
  <c r="Q56" i="31"/>
  <c r="AG56" i="31"/>
  <c r="AP56" i="31"/>
  <c r="Z56" i="31"/>
  <c r="AM56" i="31"/>
  <c r="S56" i="31"/>
  <c r="M56" i="31"/>
  <c r="BC56" i="31"/>
  <c r="AQ56" i="31"/>
  <c r="AW56" i="31"/>
  <c r="AY56" i="31"/>
  <c r="BA56" i="31"/>
  <c r="AN56" i="31"/>
  <c r="N56" i="31"/>
  <c r="AD56" i="31"/>
  <c r="AK56" i="31"/>
  <c r="R236" i="40"/>
  <c r="Q247" i="40"/>
  <c r="R3" i="47"/>
  <c r="Q5" i="47"/>
  <c r="Q4" i="47"/>
  <c r="Q6" i="47"/>
  <c r="I104" i="40"/>
  <c r="Q47" i="42"/>
  <c r="R2" i="42"/>
  <c r="Q1" i="42"/>
  <c r="AU76" i="31"/>
  <c r="U76" i="31"/>
  <c r="R25" i="35"/>
  <c r="S24" i="35"/>
  <c r="H104" i="40"/>
  <c r="P32" i="41"/>
  <c r="F77" i="40"/>
  <c r="F82" i="40" s="1"/>
  <c r="H77" i="40"/>
  <c r="H82" i="40" s="1"/>
  <c r="G77" i="40"/>
  <c r="G82" i="40" s="1"/>
  <c r="I77" i="40"/>
  <c r="I82" i="40" s="1"/>
  <c r="H41" i="32"/>
  <c r="R31" i="32"/>
  <c r="G31" i="32"/>
  <c r="P79" i="48"/>
  <c r="AI53" i="32"/>
  <c r="Y30" i="41"/>
  <c r="X31" i="41"/>
  <c r="C110" i="28"/>
  <c r="T292" i="41" l="1"/>
  <c r="T329" i="41"/>
  <c r="T336" i="41" s="1"/>
  <c r="V284" i="41"/>
  <c r="U288" i="41"/>
  <c r="U332" i="41" s="1"/>
  <c r="U290" i="41"/>
  <c r="U334" i="41" s="1"/>
  <c r="U285" i="41"/>
  <c r="U286" i="41"/>
  <c r="U330" i="41" s="1"/>
  <c r="U289" i="41"/>
  <c r="U291" i="41"/>
  <c r="U335" i="41" s="1"/>
  <c r="U287" i="41"/>
  <c r="U331" i="41" s="1"/>
  <c r="S317" i="38"/>
  <c r="T294" i="38"/>
  <c r="S323" i="38"/>
  <c r="S328" i="38"/>
  <c r="W74" i="38"/>
  <c r="V75" i="38"/>
  <c r="S273" i="38"/>
  <c r="S433" i="38" s="1"/>
  <c r="Q433" i="41"/>
  <c r="X166" i="41"/>
  <c r="W167" i="41"/>
  <c r="W116" i="38"/>
  <c r="V117" i="38"/>
  <c r="V120" i="38" s="1"/>
  <c r="V288" i="40"/>
  <c r="V332" i="40" s="1"/>
  <c r="V291" i="40"/>
  <c r="V335" i="40" s="1"/>
  <c r="V290" i="40"/>
  <c r="V334" i="40" s="1"/>
  <c r="V289" i="40"/>
  <c r="W284" i="40"/>
  <c r="V286" i="40"/>
  <c r="V330" i="40" s="1"/>
  <c r="V287" i="40"/>
  <c r="V331" i="40" s="1"/>
  <c r="V285" i="40"/>
  <c r="U329" i="40"/>
  <c r="U336" i="40" s="1"/>
  <c r="U292" i="40"/>
  <c r="Q176" i="38"/>
  <c r="Q177" i="38" s="1"/>
  <c r="Q186" i="38" s="1"/>
  <c r="R430" i="40"/>
  <c r="R403" i="40" s="1"/>
  <c r="R416" i="40" s="1"/>
  <c r="R414" i="40"/>
  <c r="R425" i="40"/>
  <c r="R434" i="40"/>
  <c r="R406" i="40" s="1"/>
  <c r="R415" i="40"/>
  <c r="S374" i="40"/>
  <c r="S375" i="40"/>
  <c r="S391" i="40"/>
  <c r="S431" i="40" s="1"/>
  <c r="S385" i="40"/>
  <c r="S397" i="40"/>
  <c r="S394" i="40"/>
  <c r="S366" i="40" s="1"/>
  <c r="S390" i="40"/>
  <c r="R228" i="41"/>
  <c r="U338" i="40"/>
  <c r="T357" i="40"/>
  <c r="R363" i="40"/>
  <c r="R376" i="40" s="1"/>
  <c r="X30" i="38"/>
  <c r="W31" i="38"/>
  <c r="W32" i="38" s="1"/>
  <c r="S325" i="40"/>
  <c r="S326" i="40" s="1"/>
  <c r="S273" i="40"/>
  <c r="S433" i="40" s="1"/>
  <c r="U74" i="41"/>
  <c r="T75" i="41"/>
  <c r="T76" i="41" s="1"/>
  <c r="T87" i="41" s="1"/>
  <c r="U236" i="41"/>
  <c r="T247" i="41"/>
  <c r="T237" i="41"/>
  <c r="T159" i="38"/>
  <c r="T277" i="38"/>
  <c r="T308" i="38" s="1"/>
  <c r="R159" i="41"/>
  <c r="R175" i="38"/>
  <c r="R100" i="38"/>
  <c r="R103" i="38" s="1"/>
  <c r="R104" i="38" s="1"/>
  <c r="R171" i="38"/>
  <c r="R173" i="38" s="1"/>
  <c r="R239" i="38"/>
  <c r="R79" i="38"/>
  <c r="R58" i="38"/>
  <c r="T392" i="38"/>
  <c r="T377" i="38"/>
  <c r="R432" i="41"/>
  <c r="R417" i="41"/>
  <c r="R393" i="41"/>
  <c r="R378" i="41"/>
  <c r="Q103" i="38"/>
  <c r="Q104" i="38" s="1"/>
  <c r="T324" i="38"/>
  <c r="T271" i="38"/>
  <c r="T325" i="38" s="1"/>
  <c r="T417" i="38"/>
  <c r="T432" i="38"/>
  <c r="U230" i="40"/>
  <c r="U155" i="40"/>
  <c r="U350" i="40"/>
  <c r="U364" i="40"/>
  <c r="U227" i="40"/>
  <c r="U272" i="40"/>
  <c r="V140" i="40"/>
  <c r="U404" i="40"/>
  <c r="U405" i="40"/>
  <c r="U418" i="40" s="1"/>
  <c r="U156" i="40"/>
  <c r="U162" i="40"/>
  <c r="U257" i="40"/>
  <c r="U265" i="40" s="1"/>
  <c r="U142" i="40"/>
  <c r="U150" i="40" s="1"/>
  <c r="U212" i="40"/>
  <c r="U220" i="40" s="1"/>
  <c r="U225" i="40"/>
  <c r="U226" i="40" s="1"/>
  <c r="U365" i="40"/>
  <c r="U270" i="40"/>
  <c r="U275" i="40"/>
  <c r="U158" i="40"/>
  <c r="R277" i="41"/>
  <c r="R308" i="41" s="1"/>
  <c r="Q363" i="38"/>
  <c r="Q376" i="38" s="1"/>
  <c r="S326" i="38"/>
  <c r="U257" i="38"/>
  <c r="U265" i="38" s="1"/>
  <c r="U225" i="38"/>
  <c r="U226" i="38" s="1"/>
  <c r="U156" i="38"/>
  <c r="U350" i="38"/>
  <c r="U404" i="38"/>
  <c r="U227" i="38"/>
  <c r="U405" i="38"/>
  <c r="U418" i="38" s="1"/>
  <c r="U365" i="38"/>
  <c r="U272" i="38"/>
  <c r="U155" i="38"/>
  <c r="U157" i="38" s="1"/>
  <c r="U158" i="38"/>
  <c r="U230" i="38"/>
  <c r="U275" i="38"/>
  <c r="U270" i="38"/>
  <c r="U212" i="38"/>
  <c r="U220" i="38" s="1"/>
  <c r="U162" i="38"/>
  <c r="U364" i="38"/>
  <c r="U142" i="38"/>
  <c r="U150" i="38" s="1"/>
  <c r="V140" i="38"/>
  <c r="T277" i="40"/>
  <c r="T308" i="40" s="1"/>
  <c r="T432" i="40"/>
  <c r="T417" i="40"/>
  <c r="R271" i="41"/>
  <c r="R324" i="41"/>
  <c r="S3" i="38"/>
  <c r="S2" i="38"/>
  <c r="S6" i="38"/>
  <c r="S8" i="38"/>
  <c r="T7" i="38"/>
  <c r="Q325" i="41"/>
  <c r="Q326" i="41" s="1"/>
  <c r="T377" i="40"/>
  <c r="T392" i="40"/>
  <c r="T393" i="40"/>
  <c r="T378" i="40"/>
  <c r="T226" i="40"/>
  <c r="T228" i="40" s="1"/>
  <c r="T157" i="40"/>
  <c r="T159" i="40" s="1"/>
  <c r="S156" i="41"/>
  <c r="S405" i="41"/>
  <c r="S418" i="41" s="1"/>
  <c r="S230" i="41"/>
  <c r="S404" i="41"/>
  <c r="S227" i="41"/>
  <c r="S257" i="41"/>
  <c r="S265" i="41" s="1"/>
  <c r="S350" i="41"/>
  <c r="S275" i="41"/>
  <c r="S158" i="41"/>
  <c r="S270" i="41"/>
  <c r="S155" i="41"/>
  <c r="S212" i="41"/>
  <c r="S220" i="41" s="1"/>
  <c r="S225" i="41"/>
  <c r="S226" i="41" s="1"/>
  <c r="S228" i="41" s="1"/>
  <c r="T140" i="41"/>
  <c r="S272" i="41"/>
  <c r="S162" i="41"/>
  <c r="S364" i="41"/>
  <c r="S365" i="41"/>
  <c r="S142" i="41"/>
  <c r="S150" i="41" s="1"/>
  <c r="S363" i="41"/>
  <c r="S376" i="41" s="1"/>
  <c r="T393" i="38"/>
  <c r="T378" i="38"/>
  <c r="T271" i="40"/>
  <c r="T324" i="40"/>
  <c r="R377" i="41"/>
  <c r="R392" i="41"/>
  <c r="R66" i="38"/>
  <c r="V167" i="38"/>
  <c r="W166" i="38"/>
  <c r="T58" i="40"/>
  <c r="T175" i="40"/>
  <c r="T100" i="40"/>
  <c r="T79" i="40"/>
  <c r="T171" i="40"/>
  <c r="T173" i="40" s="1"/>
  <c r="T239" i="40"/>
  <c r="T397" i="41"/>
  <c r="T390" i="41"/>
  <c r="T375" i="41"/>
  <c r="T394" i="41"/>
  <c r="T366" i="41" s="1"/>
  <c r="T385" i="41"/>
  <c r="T391" i="41"/>
  <c r="T431" i="41" s="1"/>
  <c r="T374" i="41"/>
  <c r="V290" i="38"/>
  <c r="V334" i="38" s="1"/>
  <c r="V289" i="38"/>
  <c r="V287" i="38"/>
  <c r="V331" i="38" s="1"/>
  <c r="W284" i="38"/>
  <c r="V286" i="38"/>
  <c r="V330" i="38" s="1"/>
  <c r="V288" i="38"/>
  <c r="V332" i="38" s="1"/>
  <c r="V285" i="38"/>
  <c r="V291" i="38"/>
  <c r="V335" i="38" s="1"/>
  <c r="T54" i="41"/>
  <c r="U53" i="41"/>
  <c r="C37" i="35"/>
  <c r="B38" i="35"/>
  <c r="U328" i="41"/>
  <c r="U323" i="41"/>
  <c r="U317" i="41"/>
  <c r="V294" i="41"/>
  <c r="U329" i="38"/>
  <c r="U336" i="38" s="1"/>
  <c r="U292" i="38"/>
  <c r="T87" i="38"/>
  <c r="U76" i="38"/>
  <c r="T53" i="38"/>
  <c r="S54" i="38"/>
  <c r="Z317" i="40"/>
  <c r="Z328" i="40"/>
  <c r="Z323" i="40"/>
  <c r="Q247" i="38"/>
  <c r="R236" i="38"/>
  <c r="S176" i="40"/>
  <c r="T168" i="38"/>
  <c r="V117" i="41"/>
  <c r="W116" i="41"/>
  <c r="S235" i="38"/>
  <c r="T234" i="38"/>
  <c r="Y30" i="40"/>
  <c r="X31" i="40"/>
  <c r="AH26" i="35"/>
  <c r="AG27" i="35"/>
  <c r="U6" i="40"/>
  <c r="U8" i="40"/>
  <c r="U3" i="40"/>
  <c r="V7" i="40"/>
  <c r="U2" i="40"/>
  <c r="X116" i="40"/>
  <c r="W117" i="40"/>
  <c r="V235" i="40"/>
  <c r="W234" i="40"/>
  <c r="S425" i="41"/>
  <c r="S430" i="41"/>
  <c r="S403" i="41" s="1"/>
  <c r="S416" i="41" s="1"/>
  <c r="S415" i="41"/>
  <c r="S434" i="41"/>
  <c r="S406" i="41" s="1"/>
  <c r="S414" i="41"/>
  <c r="U357" i="41"/>
  <c r="V338" i="41"/>
  <c r="X76" i="31"/>
  <c r="AT76" i="31"/>
  <c r="AI76" i="31"/>
  <c r="W95" i="41"/>
  <c r="V96" i="41"/>
  <c r="K83" i="40"/>
  <c r="R108" i="41"/>
  <c r="S97" i="41"/>
  <c r="G331" i="41"/>
  <c r="AI22" i="35"/>
  <c r="AQ21" i="35"/>
  <c r="AI56" i="32"/>
  <c r="G34" i="32"/>
  <c r="R34" i="32"/>
  <c r="P82" i="48"/>
  <c r="H44" i="32"/>
  <c r="H83" i="40"/>
  <c r="J83" i="40"/>
  <c r="E30" i="35"/>
  <c r="D29" i="35"/>
  <c r="L29" i="35" s="1"/>
  <c r="L83" i="40"/>
  <c r="Q186" i="41"/>
  <c r="G41" i="32"/>
  <c r="G287" i="38"/>
  <c r="H287" i="38"/>
  <c r="O83" i="40"/>
  <c r="S9" i="41"/>
  <c r="T6" i="41"/>
  <c r="T2" i="41"/>
  <c r="U7" i="41"/>
  <c r="T3" i="41"/>
  <c r="T8" i="41"/>
  <c r="Q9" i="38"/>
  <c r="T379" i="41"/>
  <c r="U359" i="41"/>
  <c r="T371" i="41"/>
  <c r="Y54" i="40"/>
  <c r="Z53" i="40"/>
  <c r="Z54" i="40" s="1"/>
  <c r="F83" i="40"/>
  <c r="S357" i="38"/>
  <c r="T338" i="38"/>
  <c r="Q104" i="40"/>
  <c r="Q31" i="32"/>
  <c r="P100" i="48"/>
  <c r="R247" i="40"/>
  <c r="S236" i="40"/>
  <c r="Q186" i="40"/>
  <c r="T120" i="41"/>
  <c r="S55" i="41"/>
  <c r="R66" i="41"/>
  <c r="H331" i="41"/>
  <c r="T82" i="48"/>
  <c r="J44" i="32"/>
  <c r="T34" i="32"/>
  <c r="T103" i="48" s="1"/>
  <c r="AK56" i="32"/>
  <c r="Z30" i="41"/>
  <c r="Z31" i="41" s="1"/>
  <c r="Y31" i="41"/>
  <c r="R6" i="47"/>
  <c r="R5" i="47"/>
  <c r="R4" i="47"/>
  <c r="S3" i="47"/>
  <c r="Q83" i="40"/>
  <c r="U379" i="40"/>
  <c r="U371" i="40"/>
  <c r="V359" i="40"/>
  <c r="R243" i="41"/>
  <c r="Q120" i="40"/>
  <c r="S168" i="41"/>
  <c r="S79" i="41"/>
  <c r="S58" i="41"/>
  <c r="S175" i="41"/>
  <c r="S171" i="41"/>
  <c r="S173" i="41" s="1"/>
  <c r="S239" i="41"/>
  <c r="S242" i="41" s="1"/>
  <c r="S100" i="41"/>
  <c r="S97" i="40"/>
  <c r="R108" i="40"/>
  <c r="R98" i="40"/>
  <c r="R103" i="40" s="1"/>
  <c r="F31" i="32"/>
  <c r="AH53" i="32"/>
  <c r="R26" i="35"/>
  <c r="S25" i="35"/>
  <c r="Q32" i="41"/>
  <c r="I83" i="40"/>
  <c r="R47" i="42"/>
  <c r="S2" i="42"/>
  <c r="R1" i="42"/>
  <c r="R66" i="40"/>
  <c r="S55" i="40"/>
  <c r="R87" i="40"/>
  <c r="S76" i="40"/>
  <c r="R77" i="40"/>
  <c r="R82" i="40" s="1"/>
  <c r="S168" i="40"/>
  <c r="R177" i="40"/>
  <c r="T411" i="41"/>
  <c r="T419" i="41"/>
  <c r="U399" i="41"/>
  <c r="R397" i="38"/>
  <c r="R390" i="38"/>
  <c r="R391" i="38"/>
  <c r="R431" i="38" s="1"/>
  <c r="R385" i="38"/>
  <c r="R394" i="38"/>
  <c r="R366" i="38" s="1"/>
  <c r="R375" i="38"/>
  <c r="R374" i="38"/>
  <c r="F50" i="31"/>
  <c r="J50" i="31"/>
  <c r="I50" i="31"/>
  <c r="H50" i="31"/>
  <c r="Y167" i="40"/>
  <c r="Z166" i="40"/>
  <c r="Z167" i="40" s="1"/>
  <c r="G83" i="40"/>
  <c r="T108" i="38"/>
  <c r="U97" i="38"/>
  <c r="T98" i="38"/>
  <c r="Q430" i="38"/>
  <c r="Q403" i="38" s="1"/>
  <c r="Q416" i="38" s="1"/>
  <c r="Q415" i="38"/>
  <c r="Q425" i="38"/>
  <c r="Q434" i="38"/>
  <c r="Q406" i="38" s="1"/>
  <c r="Q414" i="38"/>
  <c r="M83" i="40"/>
  <c r="AB22" i="35"/>
  <c r="T23" i="35"/>
  <c r="P83" i="40"/>
  <c r="R176" i="41"/>
  <c r="R177" i="41" s="1"/>
  <c r="H290" i="40"/>
  <c r="H334" i="40" s="1"/>
  <c r="G290" i="40"/>
  <c r="Q9" i="40"/>
  <c r="O32" i="40"/>
  <c r="S363" i="40" l="1"/>
  <c r="S376" i="40" s="1"/>
  <c r="U292" i="41"/>
  <c r="U329" i="41"/>
  <c r="U336" i="41" s="1"/>
  <c r="V285" i="41"/>
  <c r="V286" i="41"/>
  <c r="V330" i="41" s="1"/>
  <c r="V287" i="41"/>
  <c r="V331" i="41" s="1"/>
  <c r="V291" i="41"/>
  <c r="V335" i="41" s="1"/>
  <c r="V289" i="41"/>
  <c r="W284" i="41"/>
  <c r="V288" i="41"/>
  <c r="V332" i="41" s="1"/>
  <c r="V290" i="41"/>
  <c r="V334" i="41" s="1"/>
  <c r="T176" i="40"/>
  <c r="T323" i="38"/>
  <c r="T328" i="38"/>
  <c r="U294" i="38"/>
  <c r="T317" i="38"/>
  <c r="R56" i="40"/>
  <c r="R61" i="40" s="1"/>
  <c r="R62" i="40" s="1"/>
  <c r="U228" i="40"/>
  <c r="V292" i="40"/>
  <c r="V329" i="40"/>
  <c r="V336" i="40" s="1"/>
  <c r="W117" i="38"/>
  <c r="X116" i="38"/>
  <c r="X284" i="40"/>
  <c r="W288" i="40"/>
  <c r="W332" i="40" s="1"/>
  <c r="W287" i="40"/>
  <c r="W331" i="40" s="1"/>
  <c r="W290" i="40"/>
  <c r="W334" i="40" s="1"/>
  <c r="W289" i="40"/>
  <c r="W285" i="40"/>
  <c r="W286" i="40"/>
  <c r="W330" i="40" s="1"/>
  <c r="W291" i="40"/>
  <c r="W335" i="40" s="1"/>
  <c r="X167" i="41"/>
  <c r="Y166" i="41"/>
  <c r="U228" i="38"/>
  <c r="X74" i="38"/>
  <c r="W75" i="38"/>
  <c r="T273" i="38"/>
  <c r="T433" i="38" s="1"/>
  <c r="V338" i="40"/>
  <c r="U357" i="40"/>
  <c r="S414" i="40"/>
  <c r="S430" i="40"/>
  <c r="S403" i="40" s="1"/>
  <c r="S416" i="40" s="1"/>
  <c r="S434" i="40"/>
  <c r="S406" i="40" s="1"/>
  <c r="S425" i="40"/>
  <c r="S415" i="40"/>
  <c r="X31" i="38"/>
  <c r="Y30" i="38"/>
  <c r="U277" i="40"/>
  <c r="U308" i="40" s="1"/>
  <c r="T391" i="40"/>
  <c r="T431" i="40" s="1"/>
  <c r="T374" i="40"/>
  <c r="T375" i="40"/>
  <c r="T397" i="40"/>
  <c r="T385" i="40"/>
  <c r="T390" i="40"/>
  <c r="T394" i="40"/>
  <c r="T366" i="40" s="1"/>
  <c r="S392" i="41"/>
  <c r="S377" i="41"/>
  <c r="U277" i="38"/>
  <c r="U308" i="38" s="1"/>
  <c r="U432" i="38"/>
  <c r="U417" i="38"/>
  <c r="S277" i="41"/>
  <c r="S308" i="41" s="1"/>
  <c r="S79" i="38"/>
  <c r="S175" i="38"/>
  <c r="S171" i="38"/>
  <c r="S173" i="38" s="1"/>
  <c r="S239" i="38"/>
  <c r="S100" i="38"/>
  <c r="S103" i="38" s="1"/>
  <c r="S104" i="38" s="1"/>
  <c r="S58" i="38"/>
  <c r="U157" i="40"/>
  <c r="U159" i="40" s="1"/>
  <c r="L35" i="41"/>
  <c r="L34" i="41" s="1"/>
  <c r="T273" i="40"/>
  <c r="T433" i="40" s="1"/>
  <c r="T325" i="40"/>
  <c r="T326" i="40" s="1"/>
  <c r="V404" i="38"/>
  <c r="V230" i="38"/>
  <c r="V225" i="38"/>
  <c r="V226" i="38" s="1"/>
  <c r="V272" i="38"/>
  <c r="V405" i="38"/>
  <c r="V418" i="38" s="1"/>
  <c r="V270" i="38"/>
  <c r="V275" i="38"/>
  <c r="V156" i="38"/>
  <c r="V162" i="38"/>
  <c r="V155" i="38"/>
  <c r="V157" i="38" s="1"/>
  <c r="V212" i="38"/>
  <c r="V220" i="38" s="1"/>
  <c r="V257" i="38"/>
  <c r="V265" i="38" s="1"/>
  <c r="V365" i="38"/>
  <c r="W140" i="38"/>
  <c r="V142" i="38"/>
  <c r="V150" i="38" s="1"/>
  <c r="V158" i="38"/>
  <c r="V350" i="38"/>
  <c r="V364" i="38"/>
  <c r="V227" i="38"/>
  <c r="U271" i="40"/>
  <c r="U324" i="40"/>
  <c r="R176" i="38"/>
  <c r="R177" i="38" s="1"/>
  <c r="R186" i="38" s="1"/>
  <c r="U237" i="41"/>
  <c r="V236" i="41"/>
  <c r="U247" i="41"/>
  <c r="T156" i="41"/>
  <c r="T405" i="41"/>
  <c r="T418" i="41" s="1"/>
  <c r="T270" i="41"/>
  <c r="U140" i="41"/>
  <c r="T350" i="41"/>
  <c r="T155" i="41"/>
  <c r="T157" i="41" s="1"/>
  <c r="T272" i="41"/>
  <c r="T162" i="41"/>
  <c r="T212" i="41"/>
  <c r="T220" i="41" s="1"/>
  <c r="T225" i="41"/>
  <c r="T230" i="41"/>
  <c r="T404" i="41"/>
  <c r="T158" i="41"/>
  <c r="T257" i="41"/>
  <c r="T265" i="41" s="1"/>
  <c r="T227" i="41"/>
  <c r="T142" i="41"/>
  <c r="T150" i="41" s="1"/>
  <c r="T365" i="41"/>
  <c r="T275" i="41"/>
  <c r="T364" i="41"/>
  <c r="U159" i="38"/>
  <c r="U378" i="40"/>
  <c r="U393" i="40"/>
  <c r="U417" i="40"/>
  <c r="U432" i="40"/>
  <c r="R273" i="41"/>
  <c r="R433" i="41" s="1"/>
  <c r="R325" i="41"/>
  <c r="R326" i="41" s="1"/>
  <c r="U377" i="38"/>
  <c r="U392" i="38"/>
  <c r="V364" i="40"/>
  <c r="V350" i="40"/>
  <c r="V142" i="40"/>
  <c r="V150" i="40" s="1"/>
  <c r="V156" i="40"/>
  <c r="V225" i="40"/>
  <c r="V405" i="40"/>
  <c r="V418" i="40" s="1"/>
  <c r="W140" i="40"/>
  <c r="V212" i="40"/>
  <c r="V220" i="40" s="1"/>
  <c r="V272" i="40"/>
  <c r="V158" i="40"/>
  <c r="V227" i="40"/>
  <c r="V275" i="40"/>
  <c r="V365" i="40"/>
  <c r="V230" i="40"/>
  <c r="V162" i="40"/>
  <c r="V155" i="40"/>
  <c r="V257" i="40"/>
  <c r="V265" i="40" s="1"/>
  <c r="V270" i="40"/>
  <c r="V404" i="40"/>
  <c r="U75" i="41"/>
  <c r="U76" i="41" s="1"/>
  <c r="U87" i="41" s="1"/>
  <c r="V74" i="41"/>
  <c r="S417" i="41"/>
  <c r="S432" i="41"/>
  <c r="U378" i="38"/>
  <c r="U393" i="38"/>
  <c r="S157" i="41"/>
  <c r="S159" i="41" s="1"/>
  <c r="T3" i="38"/>
  <c r="T6" i="38"/>
  <c r="U7" i="38"/>
  <c r="T8" i="38"/>
  <c r="T2" i="38"/>
  <c r="T326" i="38"/>
  <c r="Q56" i="40"/>
  <c r="Q61" i="40" s="1"/>
  <c r="Q62" i="40" s="1"/>
  <c r="S393" i="41"/>
  <c r="S378" i="41"/>
  <c r="S271" i="41"/>
  <c r="S324" i="41"/>
  <c r="U324" i="38"/>
  <c r="U271" i="38"/>
  <c r="U325" i="38" s="1"/>
  <c r="U377" i="40"/>
  <c r="U392" i="40"/>
  <c r="P35" i="41"/>
  <c r="P40" i="41" s="1"/>
  <c r="T235" i="38"/>
  <c r="U234" i="38"/>
  <c r="V329" i="38"/>
  <c r="V336" i="38" s="1"/>
  <c r="V292" i="38"/>
  <c r="W117" i="41"/>
  <c r="X116" i="41"/>
  <c r="U175" i="40"/>
  <c r="U239" i="40"/>
  <c r="U58" i="40"/>
  <c r="U79" i="40"/>
  <c r="U171" i="40"/>
  <c r="U173" i="40" s="1"/>
  <c r="U100" i="40"/>
  <c r="AH27" i="35"/>
  <c r="AG28" i="35"/>
  <c r="T54" i="38"/>
  <c r="U53" i="38"/>
  <c r="V53" i="41"/>
  <c r="U54" i="41"/>
  <c r="R169" i="40"/>
  <c r="R179" i="40" s="1"/>
  <c r="R363" i="38"/>
  <c r="R376" i="38" s="1"/>
  <c r="W338" i="41"/>
  <c r="V357" i="41"/>
  <c r="X234" i="40"/>
  <c r="W235" i="40"/>
  <c r="V6" i="40"/>
  <c r="V2" i="40"/>
  <c r="W7" i="40"/>
  <c r="V3" i="40"/>
  <c r="V8" i="40"/>
  <c r="V328" i="41"/>
  <c r="W294" i="41"/>
  <c r="V317" i="41"/>
  <c r="V323" i="41"/>
  <c r="W287" i="38"/>
  <c r="W331" i="38" s="1"/>
  <c r="W291" i="38"/>
  <c r="W335" i="38" s="1"/>
  <c r="W288" i="38"/>
  <c r="W332" i="38" s="1"/>
  <c r="X284" i="38"/>
  <c r="W285" i="38"/>
  <c r="W286" i="38"/>
  <c r="W289" i="38"/>
  <c r="W290" i="38"/>
  <c r="W334" i="38" s="1"/>
  <c r="N35" i="41"/>
  <c r="N34" i="41" s="1"/>
  <c r="P169" i="40"/>
  <c r="P179" i="40" s="1"/>
  <c r="U397" i="41"/>
  <c r="U385" i="41"/>
  <c r="U390" i="41"/>
  <c r="U391" i="41"/>
  <c r="U431" i="41" s="1"/>
  <c r="U394" i="41"/>
  <c r="U366" i="41" s="1"/>
  <c r="U375" i="41"/>
  <c r="U374" i="41"/>
  <c r="U168" i="38"/>
  <c r="Z30" i="40"/>
  <c r="Z31" i="40" s="1"/>
  <c r="Y31" i="40"/>
  <c r="M35" i="41"/>
  <c r="M34" i="41" s="1"/>
  <c r="Y116" i="40"/>
  <c r="X117" i="40"/>
  <c r="V76" i="38"/>
  <c r="U87" i="38"/>
  <c r="T363" i="41"/>
  <c r="T376" i="41" s="1"/>
  <c r="X166" i="38"/>
  <c r="W167" i="38"/>
  <c r="S55" i="38"/>
  <c r="R247" i="38"/>
  <c r="S236" i="38"/>
  <c r="B39" i="35"/>
  <c r="C38" i="35"/>
  <c r="T415" i="41"/>
  <c r="T430" i="41"/>
  <c r="T403" i="41" s="1"/>
  <c r="T416" i="41" s="1"/>
  <c r="T434" i="41"/>
  <c r="T406" i="41" s="1"/>
  <c r="T425" i="41"/>
  <c r="T414" i="41"/>
  <c r="S176" i="41"/>
  <c r="S177" i="41" s="1"/>
  <c r="F41" i="32"/>
  <c r="P103" i="48"/>
  <c r="Q34" i="32"/>
  <c r="P34" i="32" s="1"/>
  <c r="R186" i="41"/>
  <c r="N169" i="40"/>
  <c r="T76" i="40"/>
  <c r="S87" i="40"/>
  <c r="S77" i="40"/>
  <c r="S82" i="40" s="1"/>
  <c r="R104" i="40"/>
  <c r="S243" i="41"/>
  <c r="T3" i="47"/>
  <c r="S6" i="47"/>
  <c r="S4" i="47"/>
  <c r="S5" i="47"/>
  <c r="F34" i="32"/>
  <c r="AH56" i="32"/>
  <c r="T168" i="41"/>
  <c r="G331" i="38"/>
  <c r="R434" i="38"/>
  <c r="R406" i="38" s="1"/>
  <c r="R414" i="38"/>
  <c r="R425" i="38"/>
  <c r="R415" i="38"/>
  <c r="R430" i="38"/>
  <c r="R403" i="38" s="1"/>
  <c r="R416" i="38" s="1"/>
  <c r="R83" i="40"/>
  <c r="P31" i="32"/>
  <c r="R9" i="38"/>
  <c r="L40" i="41"/>
  <c r="M40" i="41"/>
  <c r="T2" i="42"/>
  <c r="S47" i="42"/>
  <c r="S1" i="42"/>
  <c r="T97" i="40"/>
  <c r="S98" i="40"/>
  <c r="S103" i="40" s="1"/>
  <c r="S108" i="40"/>
  <c r="T357" i="38"/>
  <c r="U338" i="38"/>
  <c r="E31" i="35"/>
  <c r="D30" i="35"/>
  <c r="L30" i="35" s="1"/>
  <c r="Q169" i="40"/>
  <c r="T9" i="41"/>
  <c r="S66" i="41"/>
  <c r="T55" i="41"/>
  <c r="G290" i="41"/>
  <c r="H290" i="41"/>
  <c r="H334" i="41" s="1"/>
  <c r="G334" i="40"/>
  <c r="T55" i="40"/>
  <c r="S66" i="40"/>
  <c r="S56" i="40"/>
  <c r="S61" i="40" s="1"/>
  <c r="J35" i="41"/>
  <c r="I35" i="41"/>
  <c r="K35" i="41"/>
  <c r="S374" i="38"/>
  <c r="S375" i="38"/>
  <c r="S397" i="38"/>
  <c r="S390" i="38"/>
  <c r="S394" i="38"/>
  <c r="S366" i="38" s="1"/>
  <c r="S391" i="38"/>
  <c r="S431" i="38" s="1"/>
  <c r="S385" i="38"/>
  <c r="F56" i="40"/>
  <c r="F61" i="40" s="1"/>
  <c r="G56" i="40"/>
  <c r="G61" i="40" s="1"/>
  <c r="H56" i="40"/>
  <c r="H61" i="40" s="1"/>
  <c r="M56" i="40"/>
  <c r="M61" i="40" s="1"/>
  <c r="I56" i="40"/>
  <c r="I61" i="40" s="1"/>
  <c r="J56" i="40"/>
  <c r="J61" i="40" s="1"/>
  <c r="L56" i="40"/>
  <c r="L61" i="40" s="1"/>
  <c r="W120" i="38"/>
  <c r="P56" i="40"/>
  <c r="P61" i="40" s="1"/>
  <c r="P32" i="40"/>
  <c r="V399" i="41"/>
  <c r="U419" i="41"/>
  <c r="U411" i="41"/>
  <c r="AB23" i="35"/>
  <c r="T24" i="35"/>
  <c r="F169" i="40"/>
  <c r="G169" i="40"/>
  <c r="H169" i="40"/>
  <c r="I169" i="40"/>
  <c r="J169" i="40"/>
  <c r="L169" i="40"/>
  <c r="K169" i="40"/>
  <c r="O169" i="40"/>
  <c r="M169" i="40"/>
  <c r="R186" i="40"/>
  <c r="R27" i="35"/>
  <c r="S26" i="35"/>
  <c r="V379" i="40"/>
  <c r="W359" i="40"/>
  <c r="V371" i="40"/>
  <c r="H35" i="41"/>
  <c r="F35" i="41"/>
  <c r="G35" i="41"/>
  <c r="K56" i="40"/>
  <c r="K61" i="40" s="1"/>
  <c r="O56" i="40"/>
  <c r="O61" i="40" s="1"/>
  <c r="U379" i="41"/>
  <c r="U371" i="41"/>
  <c r="V359" i="41"/>
  <c r="U3" i="41"/>
  <c r="U6" i="41"/>
  <c r="V7" i="41"/>
  <c r="U8" i="41"/>
  <c r="U2" i="41"/>
  <c r="N56" i="40"/>
  <c r="N61" i="40" s="1"/>
  <c r="X95" i="41"/>
  <c r="W96" i="41"/>
  <c r="S169" i="40"/>
  <c r="T168" i="40"/>
  <c r="S177" i="40"/>
  <c r="AQ22" i="35"/>
  <c r="AI23" i="35"/>
  <c r="V97" i="38"/>
  <c r="U98" i="38"/>
  <c r="U108" i="38"/>
  <c r="U120" i="41"/>
  <c r="T236" i="40"/>
  <c r="S247" i="40"/>
  <c r="R9" i="40"/>
  <c r="AX50" i="31"/>
  <c r="AP50" i="31"/>
  <c r="AD50" i="31"/>
  <c r="R50" i="31"/>
  <c r="U50" i="31"/>
  <c r="BB50" i="31"/>
  <c r="AN50" i="31"/>
  <c r="Y50" i="31"/>
  <c r="AL50" i="31"/>
  <c r="AO50" i="31"/>
  <c r="AV50" i="31"/>
  <c r="AC50" i="31"/>
  <c r="O50" i="31"/>
  <c r="AM50" i="31"/>
  <c r="AK50" i="31"/>
  <c r="S50" i="31"/>
  <c r="Q50" i="31"/>
  <c r="AY50" i="31"/>
  <c r="AE50" i="31"/>
  <c r="AR50" i="31"/>
  <c r="Z50" i="31"/>
  <c r="BA50" i="31"/>
  <c r="AU50" i="31"/>
  <c r="AB50" i="31"/>
  <c r="P50" i="31"/>
  <c r="T50" i="31"/>
  <c r="AW50" i="31"/>
  <c r="AJ50" i="31"/>
  <c r="AZ50" i="31"/>
  <c r="AA50" i="31"/>
  <c r="AG50" i="31"/>
  <c r="AQ50" i="31"/>
  <c r="BC50" i="31"/>
  <c r="AF50" i="31"/>
  <c r="M50" i="31"/>
  <c r="N50" i="31"/>
  <c r="Q35" i="41"/>
  <c r="R32" i="41"/>
  <c r="R120" i="40"/>
  <c r="T79" i="41"/>
  <c r="T239" i="41"/>
  <c r="T242" i="41" s="1"/>
  <c r="T171" i="41"/>
  <c r="T173" i="41" s="1"/>
  <c r="T175" i="41"/>
  <c r="T100" i="41"/>
  <c r="T58" i="41"/>
  <c r="H331" i="38"/>
  <c r="H290" i="38"/>
  <c r="H334" i="38" s="1"/>
  <c r="G44" i="32"/>
  <c r="F44" i="32" s="1"/>
  <c r="G290" i="38"/>
  <c r="T97" i="41"/>
  <c r="S108" i="41"/>
  <c r="O35" i="41"/>
  <c r="W288" i="41" l="1"/>
  <c r="W332" i="41" s="1"/>
  <c r="X284" i="41"/>
  <c r="W287" i="41"/>
  <c r="W331" i="41" s="1"/>
  <c r="W286" i="41"/>
  <c r="W330" i="41" s="1"/>
  <c r="W290" i="41"/>
  <c r="W334" i="41" s="1"/>
  <c r="W289" i="41"/>
  <c r="W285" i="41"/>
  <c r="W291" i="41"/>
  <c r="W335" i="41" s="1"/>
  <c r="V329" i="41"/>
  <c r="V336" i="41" s="1"/>
  <c r="V292" i="41"/>
  <c r="N40" i="41"/>
  <c r="U328" i="38"/>
  <c r="U323" i="38"/>
  <c r="U317" i="38"/>
  <c r="V294" i="38"/>
  <c r="O35" i="40"/>
  <c r="O40" i="40" s="1"/>
  <c r="P34" i="41"/>
  <c r="S176" i="38"/>
  <c r="S177" i="38" s="1"/>
  <c r="S186" i="38" s="1"/>
  <c r="U326" i="38"/>
  <c r="W292" i="40"/>
  <c r="W329" i="40"/>
  <c r="W336" i="40" s="1"/>
  <c r="X75" i="38"/>
  <c r="Y74" i="38"/>
  <c r="X117" i="38"/>
  <c r="X120" i="38" s="1"/>
  <c r="Y116" i="38"/>
  <c r="Z166" i="41"/>
  <c r="Z167" i="41" s="1"/>
  <c r="Y167" i="41"/>
  <c r="X285" i="40"/>
  <c r="Y284" i="40"/>
  <c r="X290" i="40"/>
  <c r="X334" i="40" s="1"/>
  <c r="X289" i="40"/>
  <c r="X288" i="40"/>
  <c r="X332" i="40" s="1"/>
  <c r="X286" i="40"/>
  <c r="X330" i="40" s="1"/>
  <c r="X287" i="40"/>
  <c r="X331" i="40" s="1"/>
  <c r="X291" i="40"/>
  <c r="X335" i="40" s="1"/>
  <c r="S325" i="41"/>
  <c r="S326" i="41" s="1"/>
  <c r="V159" i="38"/>
  <c r="M35" i="40"/>
  <c r="M40" i="40" s="1"/>
  <c r="M41" i="40" s="1"/>
  <c r="U375" i="40"/>
  <c r="U397" i="40"/>
  <c r="U374" i="40"/>
  <c r="U391" i="40"/>
  <c r="U431" i="40" s="1"/>
  <c r="U385" i="40"/>
  <c r="U390" i="40"/>
  <c r="U394" i="40"/>
  <c r="U366" i="40" s="1"/>
  <c r="T434" i="40"/>
  <c r="T406" i="40" s="1"/>
  <c r="T425" i="40"/>
  <c r="T414" i="40"/>
  <c r="T415" i="40"/>
  <c r="T430" i="40"/>
  <c r="T403" i="40" s="1"/>
  <c r="T416" i="40" s="1"/>
  <c r="T363" i="40"/>
  <c r="T376" i="40" s="1"/>
  <c r="Z30" i="38"/>
  <c r="Z31" i="38" s="1"/>
  <c r="Y31" i="38"/>
  <c r="V357" i="40"/>
  <c r="W338" i="40"/>
  <c r="R182" i="40"/>
  <c r="R199" i="40" s="1"/>
  <c r="X32" i="38"/>
  <c r="V157" i="40"/>
  <c r="V159" i="40" s="1"/>
  <c r="T432" i="41"/>
  <c r="T417" i="41"/>
  <c r="U212" i="41"/>
  <c r="U220" i="41" s="1"/>
  <c r="U364" i="41"/>
  <c r="U227" i="41"/>
  <c r="U162" i="41"/>
  <c r="U270" i="41"/>
  <c r="U272" i="41"/>
  <c r="U257" i="41"/>
  <c r="U265" i="41" s="1"/>
  <c r="U142" i="41"/>
  <c r="U150" i="41" s="1"/>
  <c r="V140" i="41"/>
  <c r="U156" i="41"/>
  <c r="U405" i="41"/>
  <c r="U418" i="41" s="1"/>
  <c r="U155" i="41"/>
  <c r="U225" i="41"/>
  <c r="U226" i="41" s="1"/>
  <c r="U230" i="41"/>
  <c r="U275" i="41"/>
  <c r="U404" i="41"/>
  <c r="U365" i="41"/>
  <c r="U158" i="41"/>
  <c r="U350" i="41"/>
  <c r="W155" i="38"/>
  <c r="W404" i="38"/>
  <c r="W156" i="38"/>
  <c r="W365" i="38"/>
  <c r="W275" i="38"/>
  <c r="W158" i="38"/>
  <c r="W270" i="38"/>
  <c r="W272" i="38"/>
  <c r="W405" i="38"/>
  <c r="W418" i="38" s="1"/>
  <c r="W350" i="38"/>
  <c r="W225" i="38"/>
  <c r="W226" i="38" s="1"/>
  <c r="W364" i="38"/>
  <c r="W212" i="38"/>
  <c r="W220" i="38" s="1"/>
  <c r="W162" i="38"/>
  <c r="X140" i="38"/>
  <c r="W227" i="38"/>
  <c r="W230" i="38"/>
  <c r="W142" i="38"/>
  <c r="W150" i="38" s="1"/>
  <c r="W257" i="38"/>
  <c r="W265" i="38" s="1"/>
  <c r="V271" i="38"/>
  <c r="V325" i="38" s="1"/>
  <c r="V324" i="38"/>
  <c r="W227" i="40"/>
  <c r="W405" i="40"/>
  <c r="W418" i="40" s="1"/>
  <c r="W155" i="40"/>
  <c r="W225" i="40"/>
  <c r="W158" i="40"/>
  <c r="W212" i="40"/>
  <c r="W220" i="40" s="1"/>
  <c r="W365" i="40"/>
  <c r="W364" i="40"/>
  <c r="W272" i="40"/>
  <c r="W275" i="40"/>
  <c r="W230" i="40"/>
  <c r="W156" i="40"/>
  <c r="W142" i="40"/>
  <c r="W150" i="40" s="1"/>
  <c r="X140" i="40"/>
  <c r="W162" i="40"/>
  <c r="W270" i="40"/>
  <c r="W404" i="40"/>
  <c r="W350" i="40"/>
  <c r="W257" i="40"/>
  <c r="W265" i="40" s="1"/>
  <c r="T392" i="41"/>
  <c r="T377" i="41"/>
  <c r="T271" i="41"/>
  <c r="T273" i="41" s="1"/>
  <c r="T324" i="41"/>
  <c r="V378" i="38"/>
  <c r="V393" i="38"/>
  <c r="S273" i="41"/>
  <c r="S433" i="41" s="1"/>
  <c r="T239" i="38"/>
  <c r="T100" i="38"/>
  <c r="T103" i="38" s="1"/>
  <c r="T104" i="38" s="1"/>
  <c r="T175" i="38"/>
  <c r="T79" i="38"/>
  <c r="T171" i="38"/>
  <c r="T173" i="38" s="1"/>
  <c r="T58" i="38"/>
  <c r="T277" i="41"/>
  <c r="T308" i="41" s="1"/>
  <c r="T226" i="41"/>
  <c r="T228" i="41" s="1"/>
  <c r="U273" i="40"/>
  <c r="U433" i="40" s="1"/>
  <c r="U325" i="40"/>
  <c r="U326" i="40" s="1"/>
  <c r="V75" i="41"/>
  <c r="V76" i="41" s="1"/>
  <c r="V87" i="41" s="1"/>
  <c r="W74" i="41"/>
  <c r="V393" i="40"/>
  <c r="V378" i="40"/>
  <c r="V226" i="40"/>
  <c r="V228" i="40" s="1"/>
  <c r="T378" i="41"/>
  <c r="T393" i="41"/>
  <c r="V228" i="38"/>
  <c r="V7" i="38"/>
  <c r="U3" i="38"/>
  <c r="U8" i="38"/>
  <c r="U6" i="38"/>
  <c r="U2" i="38"/>
  <c r="V277" i="40"/>
  <c r="V308" i="40" s="1"/>
  <c r="V377" i="38"/>
  <c r="V392" i="38"/>
  <c r="V417" i="40"/>
  <c r="V432" i="40"/>
  <c r="V417" i="38"/>
  <c r="V432" i="38"/>
  <c r="I35" i="40"/>
  <c r="I40" i="40" s="1"/>
  <c r="I41" i="40" s="1"/>
  <c r="U176" i="40"/>
  <c r="V271" i="40"/>
  <c r="V324" i="40"/>
  <c r="T159" i="41"/>
  <c r="V247" i="41"/>
  <c r="V237" i="41"/>
  <c r="W236" i="41"/>
  <c r="U273" i="38"/>
  <c r="U433" i="38" s="1"/>
  <c r="V392" i="40"/>
  <c r="V377" i="40"/>
  <c r="V277" i="38"/>
  <c r="V308" i="38" s="1"/>
  <c r="R187" i="40"/>
  <c r="R180" i="40"/>
  <c r="R195" i="40" s="1"/>
  <c r="P182" i="40"/>
  <c r="P199" i="40" s="1"/>
  <c r="V168" i="38"/>
  <c r="W2" i="40"/>
  <c r="W3" i="40"/>
  <c r="X7" i="40"/>
  <c r="W8" i="40"/>
  <c r="W6" i="40"/>
  <c r="L35" i="40"/>
  <c r="U430" i="41"/>
  <c r="U403" i="41" s="1"/>
  <c r="U416" i="41" s="1"/>
  <c r="U434" i="41"/>
  <c r="U406" i="41" s="1"/>
  <c r="U414" i="41"/>
  <c r="U415" i="41"/>
  <c r="U425" i="41"/>
  <c r="V171" i="40"/>
  <c r="V173" i="40" s="1"/>
  <c r="V100" i="40"/>
  <c r="V58" i="40"/>
  <c r="V79" i="40"/>
  <c r="V175" i="40"/>
  <c r="V239" i="40"/>
  <c r="M34" i="40"/>
  <c r="AG29" i="35"/>
  <c r="AH28" i="35"/>
  <c r="X117" i="41"/>
  <c r="Y116" i="41"/>
  <c r="B40" i="35"/>
  <c r="C39" i="35"/>
  <c r="S66" i="38"/>
  <c r="T55" i="38"/>
  <c r="W76" i="38"/>
  <c r="V87" i="38"/>
  <c r="Y117" i="40"/>
  <c r="Z116" i="40"/>
  <c r="Z117" i="40" s="1"/>
  <c r="L121" i="40" s="1"/>
  <c r="F35" i="40"/>
  <c r="N35" i="40"/>
  <c r="J35" i="40"/>
  <c r="H35" i="40"/>
  <c r="K35" i="40"/>
  <c r="G35" i="40"/>
  <c r="W330" i="38"/>
  <c r="Y234" i="40"/>
  <c r="X235" i="40"/>
  <c r="W53" i="41"/>
  <c r="V54" i="41"/>
  <c r="U235" i="38"/>
  <c r="V234" i="38"/>
  <c r="I34" i="40"/>
  <c r="W292" i="38"/>
  <c r="W329" i="38"/>
  <c r="W328" i="41"/>
  <c r="W323" i="41"/>
  <c r="W317" i="41"/>
  <c r="X294" i="41"/>
  <c r="V397" i="41"/>
  <c r="V394" i="41"/>
  <c r="V366" i="41" s="1"/>
  <c r="V385" i="41"/>
  <c r="V390" i="41"/>
  <c r="V375" i="41"/>
  <c r="V374" i="41"/>
  <c r="V391" i="41"/>
  <c r="V431" i="41" s="1"/>
  <c r="U54" i="38"/>
  <c r="V53" i="38"/>
  <c r="T236" i="38"/>
  <c r="S247" i="38"/>
  <c r="X167" i="38"/>
  <c r="Y166" i="38"/>
  <c r="X291" i="38"/>
  <c r="X335" i="38" s="1"/>
  <c r="X290" i="38"/>
  <c r="X334" i="38" s="1"/>
  <c r="X287" i="38"/>
  <c r="X331" i="38" s="1"/>
  <c r="X288" i="38"/>
  <c r="X332" i="38" s="1"/>
  <c r="X286" i="38"/>
  <c r="X330" i="38" s="1"/>
  <c r="X285" i="38"/>
  <c r="Y284" i="38"/>
  <c r="X289" i="38"/>
  <c r="W357" i="41"/>
  <c r="X338" i="41"/>
  <c r="U363" i="41"/>
  <c r="U376" i="41" s="1"/>
  <c r="F40" i="41"/>
  <c r="F34" i="41"/>
  <c r="U97" i="40"/>
  <c r="T108" i="40"/>
  <c r="T98" i="40"/>
  <c r="T103" i="40" s="1"/>
  <c r="U168" i="40"/>
  <c r="T169" i="40"/>
  <c r="T177" i="40"/>
  <c r="H40" i="41"/>
  <c r="H34" i="41"/>
  <c r="S182" i="40"/>
  <c r="S199" i="40" s="1"/>
  <c r="S179" i="40"/>
  <c r="S187" i="40" s="1"/>
  <c r="S186" i="41"/>
  <c r="I62" i="40"/>
  <c r="S363" i="38"/>
  <c r="S376" i="38" s="1"/>
  <c r="U55" i="40"/>
  <c r="T66" i="40"/>
  <c r="T56" i="40"/>
  <c r="T61" i="40" s="1"/>
  <c r="S83" i="40"/>
  <c r="K62" i="40"/>
  <c r="T176" i="41"/>
  <c r="T177" i="41" s="1"/>
  <c r="AQ23" i="35"/>
  <c r="AI24" i="35"/>
  <c r="J62" i="40"/>
  <c r="J182" i="40"/>
  <c r="J199" i="40" s="1"/>
  <c r="J179" i="40"/>
  <c r="O34" i="41"/>
  <c r="P33" i="41" s="1"/>
  <c r="O40" i="41"/>
  <c r="G334" i="38"/>
  <c r="U175" i="41"/>
  <c r="U58" i="41"/>
  <c r="U79" i="41"/>
  <c r="U171" i="41"/>
  <c r="U173" i="41" s="1"/>
  <c r="U239" i="41"/>
  <c r="U242" i="41" s="1"/>
  <c r="U100" i="41"/>
  <c r="I182" i="40"/>
  <c r="I199" i="40" s="1"/>
  <c r="I179" i="40"/>
  <c r="T25" i="35"/>
  <c r="AB24" i="35"/>
  <c r="M62" i="40"/>
  <c r="S434" i="38"/>
  <c r="S406" i="38" s="1"/>
  <c r="S415" i="38"/>
  <c r="S425" i="38"/>
  <c r="S414" i="38"/>
  <c r="S430" i="38"/>
  <c r="S403" i="38" s="1"/>
  <c r="S416" i="38" s="1"/>
  <c r="U9" i="41"/>
  <c r="E32" i="35"/>
  <c r="D31" i="35"/>
  <c r="L31" i="35" s="1"/>
  <c r="V338" i="38"/>
  <c r="U357" i="38"/>
  <c r="N182" i="40"/>
  <c r="N199" i="40" s="1"/>
  <c r="N179" i="40"/>
  <c r="P187" i="40"/>
  <c r="P180" i="40"/>
  <c r="M41" i="41"/>
  <c r="L42" i="41"/>
  <c r="L45" i="41"/>
  <c r="N62" i="40"/>
  <c r="R35" i="41"/>
  <c r="S32" i="41"/>
  <c r="W379" i="40"/>
  <c r="W371" i="40"/>
  <c r="X359" i="40"/>
  <c r="S27" i="35"/>
  <c r="R28" i="35"/>
  <c r="H182" i="40"/>
  <c r="H199" i="40" s="1"/>
  <c r="H179" i="40"/>
  <c r="H62" i="40"/>
  <c r="K34" i="41"/>
  <c r="L33" i="41" s="1"/>
  <c r="K40" i="41"/>
  <c r="T374" i="38"/>
  <c r="T397" i="38"/>
  <c r="T385" i="38"/>
  <c r="T375" i="38"/>
  <c r="T390" i="38"/>
  <c r="T391" i="38"/>
  <c r="T431" i="38" s="1"/>
  <c r="T394" i="38"/>
  <c r="T366" i="38" s="1"/>
  <c r="S9" i="38"/>
  <c r="T4" i="47"/>
  <c r="U3" i="47"/>
  <c r="T6" i="47"/>
  <c r="T5" i="47"/>
  <c r="T77" i="40"/>
  <c r="T82" i="40" s="1"/>
  <c r="T87" i="40"/>
  <c r="U76" i="40"/>
  <c r="W97" i="38"/>
  <c r="V108" i="38"/>
  <c r="V98" i="38"/>
  <c r="K182" i="40"/>
  <c r="K199" i="40" s="1"/>
  <c r="K179" i="40"/>
  <c r="L62" i="40"/>
  <c r="V120" i="41"/>
  <c r="L182" i="40"/>
  <c r="L199" i="40" s="1"/>
  <c r="L179" i="40"/>
  <c r="T108" i="41"/>
  <c r="U97" i="41"/>
  <c r="Q40" i="41"/>
  <c r="Q34" i="41"/>
  <c r="S9" i="40"/>
  <c r="V6" i="41"/>
  <c r="V8" i="41"/>
  <c r="V3" i="41"/>
  <c r="W7" i="41"/>
  <c r="V2" i="41"/>
  <c r="P41" i="41"/>
  <c r="G182" i="40"/>
  <c r="G199" i="40" s="1"/>
  <c r="G179" i="40"/>
  <c r="W399" i="41"/>
  <c r="V419" i="41"/>
  <c r="V411" i="41"/>
  <c r="Q32" i="40"/>
  <c r="P35" i="40"/>
  <c r="N42" i="41"/>
  <c r="N45" i="41"/>
  <c r="N33" i="41"/>
  <c r="G62" i="40"/>
  <c r="I34" i="41"/>
  <c r="I40" i="41"/>
  <c r="T66" i="41"/>
  <c r="U55" i="41"/>
  <c r="Q182" i="40"/>
  <c r="Q199" i="40" s="1"/>
  <c r="Q179" i="40"/>
  <c r="T247" i="40"/>
  <c r="U236" i="40"/>
  <c r="S186" i="40"/>
  <c r="V379" i="41"/>
  <c r="V371" i="41"/>
  <c r="W359" i="41"/>
  <c r="S62" i="40"/>
  <c r="M33" i="41"/>
  <c r="M45" i="41"/>
  <c r="M42" i="41"/>
  <c r="Y95" i="41"/>
  <c r="X96" i="41"/>
  <c r="P42" i="41"/>
  <c r="P45" i="41"/>
  <c r="M182" i="40"/>
  <c r="M199" i="40" s="1"/>
  <c r="M179" i="40"/>
  <c r="F182" i="40"/>
  <c r="F199" i="40" s="1"/>
  <c r="F179" i="40"/>
  <c r="N41" i="41"/>
  <c r="F62" i="40"/>
  <c r="J34" i="41"/>
  <c r="J40" i="41"/>
  <c r="U168" i="41"/>
  <c r="T169" i="41"/>
  <c r="S120" i="40"/>
  <c r="G334" i="41"/>
  <c r="T243" i="41"/>
  <c r="O62" i="40"/>
  <c r="G34" i="41"/>
  <c r="G40" i="41"/>
  <c r="O182" i="40"/>
  <c r="O199" i="40" s="1"/>
  <c r="O179" i="40"/>
  <c r="P62" i="40"/>
  <c r="S104" i="40"/>
  <c r="T47" i="42"/>
  <c r="U2" i="42"/>
  <c r="T1" i="42"/>
  <c r="L41" i="41"/>
  <c r="O34" i="40" l="1"/>
  <c r="W329" i="41"/>
  <c r="W336" i="41" s="1"/>
  <c r="W292" i="41"/>
  <c r="U35" i="38"/>
  <c r="R121" i="40"/>
  <c r="V273" i="38"/>
  <c r="X286" i="41"/>
  <c r="X330" i="41" s="1"/>
  <c r="Y284" i="41"/>
  <c r="X291" i="41"/>
  <c r="X335" i="41" s="1"/>
  <c r="X285" i="41"/>
  <c r="X290" i="41"/>
  <c r="X334" i="41" s="1"/>
  <c r="X288" i="41"/>
  <c r="X332" i="41" s="1"/>
  <c r="X289" i="41"/>
  <c r="X287" i="41"/>
  <c r="X331" i="41" s="1"/>
  <c r="V323" i="38"/>
  <c r="W294" i="38"/>
  <c r="V328" i="38"/>
  <c r="V317" i="38"/>
  <c r="L43" i="41"/>
  <c r="M169" i="41"/>
  <c r="M182" i="41" s="1"/>
  <c r="M199" i="41" s="1"/>
  <c r="R194" i="40"/>
  <c r="R189" i="40"/>
  <c r="R191" i="40"/>
  <c r="I169" i="41"/>
  <c r="I182" i="41" s="1"/>
  <c r="I199" i="41" s="1"/>
  <c r="M179" i="41"/>
  <c r="T176" i="38"/>
  <c r="T177" i="38" s="1"/>
  <c r="T186" i="38" s="1"/>
  <c r="R169" i="41"/>
  <c r="N169" i="41"/>
  <c r="F169" i="41"/>
  <c r="Q169" i="41"/>
  <c r="S169" i="41"/>
  <c r="L169" i="41"/>
  <c r="Q35" i="38"/>
  <c r="Q40" i="38" s="1"/>
  <c r="Q41" i="38" s="1"/>
  <c r="Z116" i="38"/>
  <c r="Z117" i="38" s="1"/>
  <c r="Q121" i="38" s="1"/>
  <c r="Y117" i="38"/>
  <c r="G169" i="41"/>
  <c r="K169" i="41"/>
  <c r="J169" i="41"/>
  <c r="O169" i="41"/>
  <c r="Y290" i="40"/>
  <c r="Y288" i="40"/>
  <c r="Y332" i="40" s="1"/>
  <c r="Y285" i="40"/>
  <c r="Y289" i="40"/>
  <c r="Z284" i="40"/>
  <c r="G4" i="42" s="1"/>
  <c r="Y287" i="40"/>
  <c r="Y291" i="40"/>
  <c r="Y335" i="40" s="1"/>
  <c r="Y286" i="40"/>
  <c r="G13" i="42"/>
  <c r="F4" i="42"/>
  <c r="F13" i="42"/>
  <c r="F22" i="42"/>
  <c r="Z74" i="38"/>
  <c r="Z75" i="38" s="1"/>
  <c r="Y75" i="38"/>
  <c r="P169" i="41"/>
  <c r="X292" i="40"/>
  <c r="X329" i="40"/>
  <c r="X336" i="40" s="1"/>
  <c r="H169" i="41"/>
  <c r="R183" i="40"/>
  <c r="X338" i="40"/>
  <c r="W357" i="40"/>
  <c r="U34" i="38"/>
  <c r="U40" i="38"/>
  <c r="U41" i="38" s="1"/>
  <c r="J121" i="40"/>
  <c r="U414" i="40"/>
  <c r="U430" i="40"/>
  <c r="U403" i="40" s="1"/>
  <c r="U416" i="40" s="1"/>
  <c r="U425" i="40"/>
  <c r="U415" i="40"/>
  <c r="U434" i="40"/>
  <c r="U406" i="40" s="1"/>
  <c r="R192" i="40"/>
  <c r="V325" i="40"/>
  <c r="V390" i="40"/>
  <c r="V394" i="40"/>
  <c r="V366" i="40" s="1"/>
  <c r="V375" i="40"/>
  <c r="V385" i="40"/>
  <c r="V397" i="40"/>
  <c r="V374" i="40"/>
  <c r="V391" i="40"/>
  <c r="V431" i="40" s="1"/>
  <c r="R205" i="40"/>
  <c r="T325" i="41"/>
  <c r="T326" i="41" s="1"/>
  <c r="V433" i="38"/>
  <c r="U277" i="41"/>
  <c r="U308" i="41" s="1"/>
  <c r="O35" i="38"/>
  <c r="R35" i="38"/>
  <c r="M35" i="38"/>
  <c r="H35" i="38"/>
  <c r="G35" i="38"/>
  <c r="W35" i="38"/>
  <c r="J35" i="38"/>
  <c r="N35" i="38"/>
  <c r="K35" i="38"/>
  <c r="P35" i="38"/>
  <c r="F35" i="38"/>
  <c r="S35" i="38"/>
  <c r="I35" i="38"/>
  <c r="L35" i="38"/>
  <c r="T35" i="38"/>
  <c r="S180" i="40"/>
  <c r="S197" i="40" s="1"/>
  <c r="R193" i="40"/>
  <c r="U363" i="40"/>
  <c r="U376" i="40" s="1"/>
  <c r="X35" i="38"/>
  <c r="Y32" i="38"/>
  <c r="R190" i="40"/>
  <c r="R197" i="40"/>
  <c r="V35" i="38"/>
  <c r="M43" i="41"/>
  <c r="V363" i="41"/>
  <c r="V376" i="41" s="1"/>
  <c r="V273" i="40"/>
  <c r="V433" i="40" s="1"/>
  <c r="W432" i="40"/>
  <c r="W417" i="40"/>
  <c r="W157" i="38"/>
  <c r="W159" i="38" s="1"/>
  <c r="U157" i="41"/>
  <c r="U159" i="41" s="1"/>
  <c r="V176" i="40"/>
  <c r="T433" i="41"/>
  <c r="W271" i="40"/>
  <c r="W324" i="40"/>
  <c r="W377" i="40"/>
  <c r="W392" i="40"/>
  <c r="W393" i="40"/>
  <c r="W378" i="40"/>
  <c r="X230" i="38"/>
  <c r="Y140" i="38"/>
  <c r="X364" i="38"/>
  <c r="X275" i="38"/>
  <c r="X142" i="38"/>
  <c r="X150" i="38" s="1"/>
  <c r="X350" i="38"/>
  <c r="X405" i="38"/>
  <c r="X418" i="38" s="1"/>
  <c r="X270" i="38"/>
  <c r="X155" i="38"/>
  <c r="X157" i="38" s="1"/>
  <c r="X225" i="38"/>
  <c r="X226" i="38" s="1"/>
  <c r="X227" i="38"/>
  <c r="X162" i="38"/>
  <c r="X404" i="38"/>
  <c r="X156" i="38"/>
  <c r="X257" i="38"/>
  <c r="X265" i="38" s="1"/>
  <c r="X158" i="38"/>
  <c r="X212" i="38"/>
  <c r="X220" i="38" s="1"/>
  <c r="X272" i="38"/>
  <c r="X365" i="38"/>
  <c r="W324" i="38"/>
  <c r="W271" i="38"/>
  <c r="W273" i="38" s="1"/>
  <c r="U392" i="41"/>
  <c r="U377" i="41"/>
  <c r="W237" i="41"/>
  <c r="W247" i="41"/>
  <c r="X236" i="41"/>
  <c r="W7" i="38"/>
  <c r="V3" i="38"/>
  <c r="V8" i="38"/>
  <c r="V6" i="38"/>
  <c r="V2" i="38"/>
  <c r="W75" i="41"/>
  <c r="W76" i="41" s="1"/>
  <c r="W87" i="41" s="1"/>
  <c r="X74" i="41"/>
  <c r="X142" i="40"/>
  <c r="X150" i="40" s="1"/>
  <c r="X212" i="40"/>
  <c r="X220" i="40" s="1"/>
  <c r="X230" i="40"/>
  <c r="Y140" i="40"/>
  <c r="X225" i="40"/>
  <c r="X226" i="40" s="1"/>
  <c r="X364" i="40"/>
  <c r="X155" i="40"/>
  <c r="X227" i="40"/>
  <c r="X404" i="40"/>
  <c r="X272" i="40"/>
  <c r="X156" i="40"/>
  <c r="X365" i="40"/>
  <c r="X350" i="40"/>
  <c r="X162" i="40"/>
  <c r="X405" i="40"/>
  <c r="X418" i="40" s="1"/>
  <c r="X257" i="40"/>
  <c r="X265" i="40" s="1"/>
  <c r="X270" i="40"/>
  <c r="X275" i="40"/>
  <c r="X158" i="40"/>
  <c r="V326" i="38"/>
  <c r="U378" i="41"/>
  <c r="U393" i="41"/>
  <c r="V230" i="41"/>
  <c r="V158" i="41"/>
  <c r="V212" i="41"/>
  <c r="V220" i="41" s="1"/>
  <c r="V272" i="41"/>
  <c r="V142" i="41"/>
  <c r="V150" i="41" s="1"/>
  <c r="V365" i="41"/>
  <c r="V225" i="41"/>
  <c r="V364" i="41"/>
  <c r="W140" i="41"/>
  <c r="V227" i="41"/>
  <c r="V350" i="41"/>
  <c r="V404" i="41"/>
  <c r="V275" i="41"/>
  <c r="V405" i="41"/>
  <c r="V418" i="41" s="1"/>
  <c r="V257" i="41"/>
  <c r="V265" i="41" s="1"/>
  <c r="V155" i="41"/>
  <c r="V270" i="41"/>
  <c r="V162" i="41"/>
  <c r="V156" i="41"/>
  <c r="P43" i="41"/>
  <c r="W277" i="38"/>
  <c r="W308" i="38" s="1"/>
  <c r="U432" i="41"/>
  <c r="U417" i="41"/>
  <c r="W226" i="40"/>
  <c r="W228" i="40" s="1"/>
  <c r="W377" i="38"/>
  <c r="W392" i="38"/>
  <c r="W393" i="38"/>
  <c r="W378" i="38"/>
  <c r="W157" i="40"/>
  <c r="W159" i="40" s="1"/>
  <c r="W228" i="38"/>
  <c r="V326" i="40"/>
  <c r="U58" i="38"/>
  <c r="U239" i="38"/>
  <c r="U100" i="38"/>
  <c r="U103" i="38" s="1"/>
  <c r="U104" i="38" s="1"/>
  <c r="U79" i="38"/>
  <c r="U175" i="38"/>
  <c r="U171" i="38"/>
  <c r="U173" i="38" s="1"/>
  <c r="W277" i="40"/>
  <c r="W308" i="40" s="1"/>
  <c r="W432" i="38"/>
  <c r="W417" i="38"/>
  <c r="U228" i="41"/>
  <c r="U271" i="41"/>
  <c r="U324" i="41"/>
  <c r="L119" i="40"/>
  <c r="L126" i="40"/>
  <c r="N43" i="41"/>
  <c r="W375" i="41"/>
  <c r="W374" i="41"/>
  <c r="W390" i="41"/>
  <c r="W385" i="41"/>
  <c r="W394" i="41"/>
  <c r="W366" i="41" s="1"/>
  <c r="W397" i="41"/>
  <c r="W391" i="41"/>
  <c r="W431" i="41" s="1"/>
  <c r="J34" i="40"/>
  <c r="J40" i="40"/>
  <c r="J41" i="40" s="1"/>
  <c r="L40" i="40"/>
  <c r="L41" i="40" s="1"/>
  <c r="L34" i="40"/>
  <c r="M33" i="40" s="1"/>
  <c r="W336" i="38"/>
  <c r="N40" i="40"/>
  <c r="N41" i="40" s="1"/>
  <c r="N34" i="40"/>
  <c r="O33" i="40" s="1"/>
  <c r="X76" i="38"/>
  <c r="W87" i="38"/>
  <c r="Y117" i="41"/>
  <c r="Z116" i="41"/>
  <c r="Z117" i="41" s="1"/>
  <c r="V121" i="41" s="1"/>
  <c r="M45" i="40"/>
  <c r="M42" i="40"/>
  <c r="M43" i="40" s="1"/>
  <c r="Y7" i="40"/>
  <c r="X6" i="40"/>
  <c r="X8" i="40"/>
  <c r="X2" i="40"/>
  <c r="X3" i="40"/>
  <c r="Y286" i="38"/>
  <c r="Y330" i="38" s="1"/>
  <c r="Y287" i="38"/>
  <c r="Y331" i="38" s="1"/>
  <c r="Y291" i="38"/>
  <c r="Y335" i="38" s="1"/>
  <c r="Y289" i="38"/>
  <c r="Y285" i="38"/>
  <c r="Y288" i="38"/>
  <c r="Y332" i="38" s="1"/>
  <c r="Z284" i="38"/>
  <c r="Y290" i="38"/>
  <c r="V54" i="38"/>
  <c r="W53" i="38"/>
  <c r="V415" i="41"/>
  <c r="V414" i="41"/>
  <c r="V425" i="41"/>
  <c r="V430" i="41"/>
  <c r="V403" i="41" s="1"/>
  <c r="V416" i="41" s="1"/>
  <c r="V434" i="41"/>
  <c r="V406" i="41" s="1"/>
  <c r="F40" i="40"/>
  <c r="F41" i="40" s="1"/>
  <c r="F34" i="40"/>
  <c r="X329" i="38"/>
  <c r="X336" i="38" s="1"/>
  <c r="X292" i="38"/>
  <c r="H121" i="40"/>
  <c r="F121" i="40"/>
  <c r="G121" i="40"/>
  <c r="K121" i="40"/>
  <c r="I121" i="40"/>
  <c r="N121" i="40"/>
  <c r="W100" i="40"/>
  <c r="W239" i="40"/>
  <c r="W58" i="40"/>
  <c r="W79" i="40"/>
  <c r="W175" i="40"/>
  <c r="W171" i="40"/>
  <c r="W173" i="40" s="1"/>
  <c r="U236" i="38"/>
  <c r="T247" i="38"/>
  <c r="X323" i="41"/>
  <c r="Y294" i="41"/>
  <c r="X328" i="41"/>
  <c r="X317" i="41"/>
  <c r="O121" i="40"/>
  <c r="M121" i="40"/>
  <c r="Q121" i="40"/>
  <c r="C40" i="35"/>
  <c r="B41" i="35"/>
  <c r="P121" i="40"/>
  <c r="W54" i="41"/>
  <c r="X53" i="41"/>
  <c r="G40" i="40"/>
  <c r="G41" i="40" s="1"/>
  <c r="G34" i="40"/>
  <c r="J126" i="40"/>
  <c r="J119" i="40"/>
  <c r="W168" i="38"/>
  <c r="K40" i="40"/>
  <c r="K41" i="40" s="1"/>
  <c r="K34" i="40"/>
  <c r="T363" i="38"/>
  <c r="T376" i="38" s="1"/>
  <c r="Y338" i="41"/>
  <c r="X357" i="41"/>
  <c r="Z166" i="38"/>
  <c r="Z167" i="38" s="1"/>
  <c r="Y167" i="38"/>
  <c r="I45" i="40"/>
  <c r="I42" i="40"/>
  <c r="I43" i="40" s="1"/>
  <c r="V235" i="38"/>
  <c r="W234" i="38"/>
  <c r="Z234" i="40"/>
  <c r="Z235" i="40" s="1"/>
  <c r="Y235" i="40"/>
  <c r="H40" i="40"/>
  <c r="H34" i="40"/>
  <c r="I33" i="40" s="1"/>
  <c r="U55" i="38"/>
  <c r="T66" i="38"/>
  <c r="AH29" i="35"/>
  <c r="AG30" i="35"/>
  <c r="H41" i="41"/>
  <c r="P191" i="40"/>
  <c r="P189" i="40"/>
  <c r="P183" i="40"/>
  <c r="P190" i="40"/>
  <c r="P192" i="40"/>
  <c r="P193" i="40"/>
  <c r="P205" i="40"/>
  <c r="P194" i="40"/>
  <c r="P195" i="40"/>
  <c r="P197" i="40"/>
  <c r="T186" i="40"/>
  <c r="V97" i="40"/>
  <c r="U108" i="40"/>
  <c r="U98" i="40"/>
  <c r="U103" i="40" s="1"/>
  <c r="G41" i="41"/>
  <c r="P34" i="40"/>
  <c r="P40" i="40"/>
  <c r="X97" i="38"/>
  <c r="W108" i="38"/>
  <c r="W98" i="38"/>
  <c r="T83" i="40"/>
  <c r="AB25" i="35"/>
  <c r="T26" i="35"/>
  <c r="U243" i="41"/>
  <c r="T186" i="41"/>
  <c r="T182" i="40"/>
  <c r="T199" i="40" s="1"/>
  <c r="T179" i="40"/>
  <c r="T187" i="40" s="1"/>
  <c r="F187" i="40"/>
  <c r="F180" i="40"/>
  <c r="G42" i="41"/>
  <c r="G45" i="41"/>
  <c r="G33" i="41"/>
  <c r="M187" i="40"/>
  <c r="M180" i="40"/>
  <c r="R32" i="40"/>
  <c r="Q35" i="40"/>
  <c r="V171" i="41"/>
  <c r="V173" i="41" s="1"/>
  <c r="V239" i="41"/>
  <c r="V242" i="41" s="1"/>
  <c r="V100" i="41"/>
  <c r="V58" i="41"/>
  <c r="V79" i="41"/>
  <c r="V175" i="41"/>
  <c r="Q42" i="41"/>
  <c r="Q45" i="41"/>
  <c r="Q33" i="41"/>
  <c r="L187" i="40"/>
  <c r="L180" i="40"/>
  <c r="T9" i="38"/>
  <c r="T415" i="38"/>
  <c r="T425" i="38"/>
  <c r="T434" i="38"/>
  <c r="T406" i="38" s="1"/>
  <c r="T414" i="38"/>
  <c r="T430" i="38"/>
  <c r="T403" i="38" s="1"/>
  <c r="T416" i="38" s="1"/>
  <c r="K41" i="41"/>
  <c r="I187" i="40"/>
  <c r="I180" i="40"/>
  <c r="U176" i="41"/>
  <c r="U177" i="41" s="1"/>
  <c r="U66" i="40"/>
  <c r="V55" i="40"/>
  <c r="U56" i="40"/>
  <c r="U61" i="40" s="1"/>
  <c r="U169" i="40"/>
  <c r="V168" i="40"/>
  <c r="U177" i="40"/>
  <c r="T62" i="40"/>
  <c r="O187" i="40"/>
  <c r="O180" i="40"/>
  <c r="Z95" i="41"/>
  <c r="Z96" i="41" s="1"/>
  <c r="Y96" i="41"/>
  <c r="X7" i="41"/>
  <c r="W3" i="41"/>
  <c r="W6" i="41"/>
  <c r="W8" i="41"/>
  <c r="W2" i="41"/>
  <c r="T9" i="40"/>
  <c r="Q41" i="41"/>
  <c r="Q43" i="41" s="1"/>
  <c r="K42" i="41"/>
  <c r="K33" i="41"/>
  <c r="K45" i="41"/>
  <c r="S35" i="41"/>
  <c r="T32" i="41"/>
  <c r="O41" i="41"/>
  <c r="AI25" i="35"/>
  <c r="AQ24" i="35"/>
  <c r="V9" i="41"/>
  <c r="Q187" i="40"/>
  <c r="Q180" i="40"/>
  <c r="U108" i="41"/>
  <c r="V97" i="41"/>
  <c r="O42" i="40"/>
  <c r="O45" i="40"/>
  <c r="R29" i="35"/>
  <c r="S28" i="35"/>
  <c r="R40" i="41"/>
  <c r="R34" i="41"/>
  <c r="O33" i="41"/>
  <c r="O42" i="41"/>
  <c r="O45" i="41"/>
  <c r="U66" i="41"/>
  <c r="V55" i="41"/>
  <c r="U4" i="47"/>
  <c r="U6" i="47"/>
  <c r="U5" i="47"/>
  <c r="V3" i="47"/>
  <c r="H187" i="40"/>
  <c r="H180" i="40"/>
  <c r="Y120" i="38"/>
  <c r="X121" i="38"/>
  <c r="X399" i="41"/>
  <c r="W411" i="41"/>
  <c r="W419" i="41"/>
  <c r="W120" i="41"/>
  <c r="K187" i="40"/>
  <c r="K180" i="40"/>
  <c r="O41" i="40"/>
  <c r="N187" i="40"/>
  <c r="N180" i="40"/>
  <c r="E33" i="35"/>
  <c r="D32" i="35"/>
  <c r="L32" i="35" s="1"/>
  <c r="J187" i="40"/>
  <c r="J180" i="40"/>
  <c r="F42" i="41"/>
  <c r="F45" i="41"/>
  <c r="F33" i="41"/>
  <c r="S121" i="40"/>
  <c r="T120" i="40"/>
  <c r="X359" i="41"/>
  <c r="W379" i="41"/>
  <c r="W371" i="41"/>
  <c r="I41" i="41"/>
  <c r="U77" i="40"/>
  <c r="U82" i="40" s="1"/>
  <c r="U87" i="40"/>
  <c r="V76" i="40"/>
  <c r="V357" i="38"/>
  <c r="W338" i="38"/>
  <c r="I42" i="41"/>
  <c r="I33" i="41"/>
  <c r="I45" i="41"/>
  <c r="V2" i="42"/>
  <c r="U47" i="42"/>
  <c r="U1" i="42"/>
  <c r="T182" i="41"/>
  <c r="T199" i="41" s="1"/>
  <c r="T179" i="41"/>
  <c r="T187" i="41" s="1"/>
  <c r="J41" i="41"/>
  <c r="V236" i="40"/>
  <c r="U247" i="40"/>
  <c r="R119" i="40"/>
  <c r="R126" i="40"/>
  <c r="V168" i="41"/>
  <c r="U169" i="41"/>
  <c r="J33" i="41"/>
  <c r="J42" i="41"/>
  <c r="J45" i="41"/>
  <c r="G187" i="40"/>
  <c r="G180" i="40"/>
  <c r="X371" i="40"/>
  <c r="Y359" i="40"/>
  <c r="X379" i="40"/>
  <c r="U394" i="38"/>
  <c r="U366" i="38" s="1"/>
  <c r="U397" i="38"/>
  <c r="U385" i="38"/>
  <c r="U375" i="38"/>
  <c r="U390" i="38"/>
  <c r="U391" i="38"/>
  <c r="U431" i="38" s="1"/>
  <c r="U374" i="38"/>
  <c r="H45" i="41"/>
  <c r="H42" i="41"/>
  <c r="H33" i="41"/>
  <c r="T104" i="40"/>
  <c r="F41" i="41"/>
  <c r="R121" i="41" l="1"/>
  <c r="Y290" i="41"/>
  <c r="Y334" i="41" s="1"/>
  <c r="Y288" i="41"/>
  <c r="Y332" i="41" s="1"/>
  <c r="Y286" i="41"/>
  <c r="Y330" i="41" s="1"/>
  <c r="Z284" i="41"/>
  <c r="H14" i="42" s="1"/>
  <c r="Y285" i="41"/>
  <c r="Y289" i="41"/>
  <c r="Y287" i="41"/>
  <c r="Y331" i="41" s="1"/>
  <c r="Y291" i="41"/>
  <c r="Y335" i="41" s="1"/>
  <c r="F32" i="42"/>
  <c r="U77" i="38"/>
  <c r="G5" i="42"/>
  <c r="G43" i="42" s="1"/>
  <c r="H5" i="42"/>
  <c r="H44" i="42" s="1"/>
  <c r="X292" i="41"/>
  <c r="X329" i="41"/>
  <c r="X336" i="41" s="1"/>
  <c r="X294" i="38"/>
  <c r="W328" i="38"/>
  <c r="W323" i="38"/>
  <c r="W317" i="38"/>
  <c r="U325" i="41"/>
  <c r="S195" i="40"/>
  <c r="Q34" i="38"/>
  <c r="I179" i="41"/>
  <c r="I180" i="41" s="1"/>
  <c r="L121" i="38"/>
  <c r="L119" i="38" s="1"/>
  <c r="W77" i="38"/>
  <c r="U121" i="38"/>
  <c r="U126" i="38" s="1"/>
  <c r="U127" i="38" s="1"/>
  <c r="U128" i="38" s="1"/>
  <c r="W176" i="40"/>
  <c r="R121" i="38"/>
  <c r="R126" i="38" s="1"/>
  <c r="R127" i="38" s="1"/>
  <c r="R128" i="38" s="1"/>
  <c r="Y331" i="40"/>
  <c r="K182" i="41"/>
  <c r="K199" i="41" s="1"/>
  <c r="K179" i="41"/>
  <c r="G179" i="41"/>
  <c r="G182" i="41"/>
  <c r="G199" i="41" s="1"/>
  <c r="N179" i="41"/>
  <c r="N182" i="41"/>
  <c r="N199" i="41" s="1"/>
  <c r="G42" i="42"/>
  <c r="G41" i="42"/>
  <c r="Z291" i="40"/>
  <c r="Z335" i="40" s="1"/>
  <c r="Z290" i="40"/>
  <c r="Z334" i="40" s="1"/>
  <c r="Z289" i="40"/>
  <c r="Z286" i="40"/>
  <c r="Z330" i="40" s="1"/>
  <c r="Z287" i="40"/>
  <c r="Z331" i="40" s="1"/>
  <c r="D331" i="40" s="1"/>
  <c r="Z285" i="40"/>
  <c r="Z288" i="40"/>
  <c r="Z332" i="40" s="1"/>
  <c r="T121" i="38"/>
  <c r="F121" i="38"/>
  <c r="S121" i="38"/>
  <c r="W121" i="38"/>
  <c r="F41" i="42"/>
  <c r="F42" i="42"/>
  <c r="L126" i="38"/>
  <c r="L127" i="38" s="1"/>
  <c r="L128" i="38" s="1"/>
  <c r="Q119" i="38"/>
  <c r="Q130" i="38" s="1"/>
  <c r="Q126" i="38"/>
  <c r="Q127" i="38" s="1"/>
  <c r="Q128" i="38" s="1"/>
  <c r="R182" i="41"/>
  <c r="R199" i="41" s="1"/>
  <c r="R179" i="41"/>
  <c r="N237" i="40"/>
  <c r="N242" i="40" s="1"/>
  <c r="N243" i="40" s="1"/>
  <c r="V169" i="38"/>
  <c r="P182" i="41"/>
  <c r="P199" i="41" s="1"/>
  <c r="P179" i="41"/>
  <c r="G22" i="42"/>
  <c r="Y329" i="40"/>
  <c r="Y292" i="40"/>
  <c r="P121" i="38"/>
  <c r="H121" i="38"/>
  <c r="P77" i="38"/>
  <c r="P82" i="38" s="1"/>
  <c r="S77" i="38"/>
  <c r="S82" i="38" s="1"/>
  <c r="F77" i="38"/>
  <c r="F82" i="38" s="1"/>
  <c r="I77" i="38"/>
  <c r="I82" i="38" s="1"/>
  <c r="Q77" i="38"/>
  <c r="Q82" i="38" s="1"/>
  <c r="G77" i="38"/>
  <c r="G82" i="38" s="1"/>
  <c r="L77" i="38"/>
  <c r="L82" i="38" s="1"/>
  <c r="V77" i="38"/>
  <c r="T77" i="38"/>
  <c r="T82" i="38" s="1"/>
  <c r="O77" i="38"/>
  <c r="O82" i="38" s="1"/>
  <c r="M77" i="38"/>
  <c r="M82" i="38" s="1"/>
  <c r="K77" i="38"/>
  <c r="K82" i="38" s="1"/>
  <c r="J77" i="38"/>
  <c r="J82" i="38" s="1"/>
  <c r="R77" i="38"/>
  <c r="R82" i="38" s="1"/>
  <c r="N77" i="38"/>
  <c r="N82" i="38" s="1"/>
  <c r="H77" i="38"/>
  <c r="H82" i="38" s="1"/>
  <c r="J121" i="38"/>
  <c r="N121" i="38"/>
  <c r="L182" i="41"/>
  <c r="L199" i="41" s="1"/>
  <c r="L179" i="41"/>
  <c r="M180" i="41"/>
  <c r="M187" i="41"/>
  <c r="U82" i="38"/>
  <c r="U83" i="38" s="1"/>
  <c r="F31" i="42"/>
  <c r="Y334" i="40"/>
  <c r="I121" i="38"/>
  <c r="V121" i="38"/>
  <c r="S182" i="41"/>
  <c r="S199" i="41" s="1"/>
  <c r="S179" i="41"/>
  <c r="Y330" i="40"/>
  <c r="O179" i="41"/>
  <c r="O182" i="41"/>
  <c r="O199" i="41" s="1"/>
  <c r="O121" i="38"/>
  <c r="K121" i="38"/>
  <c r="Q179" i="41"/>
  <c r="Q182" i="41"/>
  <c r="Q199" i="41" s="1"/>
  <c r="O121" i="41"/>
  <c r="O126" i="41" s="1"/>
  <c r="O127" i="41" s="1"/>
  <c r="O128" i="41" s="1"/>
  <c r="H182" i="41"/>
  <c r="H199" i="41" s="1"/>
  <c r="H179" i="41"/>
  <c r="G31" i="42"/>
  <c r="J179" i="41"/>
  <c r="J182" i="41"/>
  <c r="J199" i="41" s="1"/>
  <c r="G121" i="38"/>
  <c r="M121" i="38"/>
  <c r="F182" i="41"/>
  <c r="F199" i="41" s="1"/>
  <c r="F179" i="41"/>
  <c r="S192" i="40"/>
  <c r="T40" i="38"/>
  <c r="T41" i="38" s="1"/>
  <c r="T34" i="38"/>
  <c r="J40" i="38"/>
  <c r="J41" i="38" s="1"/>
  <c r="J34" i="38"/>
  <c r="J43" i="41"/>
  <c r="S189" i="40"/>
  <c r="S205" i="40"/>
  <c r="U326" i="41"/>
  <c r="Z32" i="38"/>
  <c r="Z35" i="38" s="1"/>
  <c r="Y35" i="38"/>
  <c r="L34" i="38"/>
  <c r="L40" i="38"/>
  <c r="L41" i="38" s="1"/>
  <c r="W34" i="38"/>
  <c r="W40" i="38"/>
  <c r="W41" i="38" s="1"/>
  <c r="V363" i="40"/>
  <c r="V376" i="40" s="1"/>
  <c r="R98" i="41"/>
  <c r="R103" i="41" s="1"/>
  <c r="S193" i="40"/>
  <c r="S194" i="40"/>
  <c r="X40" i="38"/>
  <c r="X41" i="38" s="1"/>
  <c r="X34" i="38"/>
  <c r="I34" i="38"/>
  <c r="I40" i="38"/>
  <c r="I41" i="38" s="1"/>
  <c r="G34" i="38"/>
  <c r="G40" i="38"/>
  <c r="G41" i="38" s="1"/>
  <c r="N34" i="38"/>
  <c r="N40" i="38"/>
  <c r="N41" i="38" s="1"/>
  <c r="S190" i="40"/>
  <c r="S34" i="38"/>
  <c r="S40" i="38"/>
  <c r="S41" i="38" s="1"/>
  <c r="H40" i="38"/>
  <c r="H41" i="38" s="1"/>
  <c r="H34" i="38"/>
  <c r="U45" i="38"/>
  <c r="U42" i="38"/>
  <c r="U43" i="38" s="1"/>
  <c r="S191" i="40"/>
  <c r="P121" i="41"/>
  <c r="P119" i="41" s="1"/>
  <c r="Q42" i="38"/>
  <c r="Q43" i="38" s="1"/>
  <c r="Q45" i="38"/>
  <c r="F40" i="38"/>
  <c r="F41" i="38" s="1"/>
  <c r="F34" i="38"/>
  <c r="M34" i="38"/>
  <c r="M40" i="38"/>
  <c r="M41" i="38" s="1"/>
  <c r="W397" i="40"/>
  <c r="W375" i="40"/>
  <c r="W391" i="40"/>
  <c r="W431" i="40" s="1"/>
  <c r="W390" i="40"/>
  <c r="W394" i="40"/>
  <c r="W366" i="40" s="1"/>
  <c r="W374" i="40"/>
  <c r="W385" i="40"/>
  <c r="S183" i="40"/>
  <c r="T121" i="41"/>
  <c r="T119" i="41" s="1"/>
  <c r="V34" i="38"/>
  <c r="V40" i="38"/>
  <c r="P34" i="38"/>
  <c r="P40" i="38"/>
  <c r="R40" i="38"/>
  <c r="R41" i="38" s="1"/>
  <c r="R34" i="38"/>
  <c r="V415" i="40"/>
  <c r="V434" i="40"/>
  <c r="V406" i="40" s="1"/>
  <c r="V425" i="40"/>
  <c r="V414" i="40"/>
  <c r="V430" i="40"/>
  <c r="V403" i="40" s="1"/>
  <c r="V416" i="40" s="1"/>
  <c r="X357" i="40"/>
  <c r="Y338" i="40"/>
  <c r="K40" i="38"/>
  <c r="K41" i="38" s="1"/>
  <c r="K34" i="38"/>
  <c r="O34" i="38"/>
  <c r="O40" i="38"/>
  <c r="O41" i="38" s="1"/>
  <c r="W6" i="38"/>
  <c r="W3" i="38"/>
  <c r="X7" i="38"/>
  <c r="W2" i="38"/>
  <c r="W8" i="38"/>
  <c r="X277" i="38"/>
  <c r="X308" i="38" s="1"/>
  <c r="R237" i="40"/>
  <c r="R242" i="40" s="1"/>
  <c r="R243" i="40" s="1"/>
  <c r="V324" i="41"/>
  <c r="V271" i="41"/>
  <c r="W275" i="41"/>
  <c r="W155" i="41"/>
  <c r="W157" i="41" s="1"/>
  <c r="X140" i="41"/>
  <c r="W212" i="41"/>
  <c r="W220" i="41" s="1"/>
  <c r="W350" i="41"/>
  <c r="W230" i="41"/>
  <c r="W404" i="41"/>
  <c r="W227" i="41"/>
  <c r="W270" i="41"/>
  <c r="W257" i="41"/>
  <c r="W265" i="41" s="1"/>
  <c r="W225" i="41"/>
  <c r="W364" i="41"/>
  <c r="W162" i="41"/>
  <c r="W142" i="41"/>
  <c r="W150" i="41" s="1"/>
  <c r="W272" i="41"/>
  <c r="W156" i="41"/>
  <c r="W158" i="41"/>
  <c r="W405" i="41"/>
  <c r="W418" i="41" s="1"/>
  <c r="W365" i="41"/>
  <c r="X157" i="40"/>
  <c r="X159" i="40" s="1"/>
  <c r="X247" i="41"/>
  <c r="X237" i="41"/>
  <c r="Y236" i="41"/>
  <c r="X393" i="38"/>
  <c r="X378" i="38"/>
  <c r="X392" i="38"/>
  <c r="X377" i="38"/>
  <c r="V157" i="41"/>
  <c r="V159" i="41" s="1"/>
  <c r="V377" i="41"/>
  <c r="V392" i="41"/>
  <c r="X377" i="40"/>
  <c r="X392" i="40"/>
  <c r="Y74" i="41"/>
  <c r="X75" i="41"/>
  <c r="X76" i="41" s="1"/>
  <c r="X87" i="41" s="1"/>
  <c r="X228" i="38"/>
  <c r="Y275" i="38"/>
  <c r="Z140" i="38"/>
  <c r="Y162" i="38"/>
  <c r="Y350" i="38"/>
  <c r="Y270" i="38"/>
  <c r="Y156" i="38"/>
  <c r="Y155" i="38"/>
  <c r="Y157" i="38" s="1"/>
  <c r="Y272" i="38"/>
  <c r="Y212" i="38"/>
  <c r="Y220" i="38" s="1"/>
  <c r="Y225" i="38"/>
  <c r="Y226" i="38" s="1"/>
  <c r="Y404" i="38"/>
  <c r="Y227" i="38"/>
  <c r="Y230" i="38"/>
  <c r="Y142" i="38"/>
  <c r="Y150" i="38" s="1"/>
  <c r="Y257" i="38"/>
  <c r="Y265" i="38" s="1"/>
  <c r="Y158" i="38"/>
  <c r="Y405" i="38"/>
  <c r="Y418" i="38" s="1"/>
  <c r="Y365" i="38"/>
  <c r="Y364" i="38"/>
  <c r="W325" i="40"/>
  <c r="W326" i="40" s="1"/>
  <c r="W273" i="40"/>
  <c r="W433" i="40" s="1"/>
  <c r="O43" i="41"/>
  <c r="V226" i="41"/>
  <c r="V228" i="41" s="1"/>
  <c r="X228" i="40"/>
  <c r="X159" i="38"/>
  <c r="Q121" i="41"/>
  <c r="Q126" i="41" s="1"/>
  <c r="V393" i="41"/>
  <c r="V378" i="41"/>
  <c r="X378" i="40"/>
  <c r="X393" i="40"/>
  <c r="Y270" i="40"/>
  <c r="Y404" i="40"/>
  <c r="Y350" i="40"/>
  <c r="Y142" i="40"/>
  <c r="Y150" i="40" s="1"/>
  <c r="Y365" i="40"/>
  <c r="Y405" i="40"/>
  <c r="Y418" i="40" s="1"/>
  <c r="Y227" i="40"/>
  <c r="Y155" i="40"/>
  <c r="Y212" i="40"/>
  <c r="Y220" i="40" s="1"/>
  <c r="Y275" i="40"/>
  <c r="Y364" i="40"/>
  <c r="Y162" i="40"/>
  <c r="Y272" i="40"/>
  <c r="Y225" i="40"/>
  <c r="Z140" i="40"/>
  <c r="Y257" i="40"/>
  <c r="Y265" i="40" s="1"/>
  <c r="Y156" i="40"/>
  <c r="Y230" i="40"/>
  <c r="Y158" i="40"/>
  <c r="V175" i="38"/>
  <c r="V239" i="38"/>
  <c r="V171" i="38"/>
  <c r="V173" i="38" s="1"/>
  <c r="V79" i="38"/>
  <c r="V58" i="38"/>
  <c r="V100" i="38"/>
  <c r="V103" i="38" s="1"/>
  <c r="V104" i="38" s="1"/>
  <c r="X324" i="38"/>
  <c r="X271" i="38"/>
  <c r="V277" i="41"/>
  <c r="V308" i="41" s="1"/>
  <c r="U98" i="41"/>
  <c r="U103" i="41" s="1"/>
  <c r="U104" i="41" s="1"/>
  <c r="U273" i="41"/>
  <c r="U433" i="41" s="1"/>
  <c r="V417" i="41"/>
  <c r="V432" i="41"/>
  <c r="X277" i="40"/>
  <c r="X308" i="40" s="1"/>
  <c r="W433" i="38"/>
  <c r="M237" i="40"/>
  <c r="M242" i="40" s="1"/>
  <c r="M243" i="40" s="1"/>
  <c r="U176" i="38"/>
  <c r="U177" i="38" s="1"/>
  <c r="U186" i="38" s="1"/>
  <c r="X324" i="40"/>
  <c r="X271" i="40"/>
  <c r="X432" i="40"/>
  <c r="X417" i="40"/>
  <c r="W325" i="38"/>
  <c r="W326" i="38" s="1"/>
  <c r="X432" i="38"/>
  <c r="X417" i="38"/>
  <c r="T237" i="40"/>
  <c r="T242" i="40" s="1"/>
  <c r="T243" i="40" s="1"/>
  <c r="O126" i="40"/>
  <c r="O127" i="40" s="1"/>
  <c r="O128" i="40" s="1"/>
  <c r="O119" i="40"/>
  <c r="Y3" i="40"/>
  <c r="Y8" i="40"/>
  <c r="Y6" i="40"/>
  <c r="Y2" i="40"/>
  <c r="Z7" i="40"/>
  <c r="W425" i="41"/>
  <c r="W434" i="41"/>
  <c r="W406" i="41" s="1"/>
  <c r="W415" i="41"/>
  <c r="W414" i="41"/>
  <c r="W430" i="41"/>
  <c r="W403" i="41" s="1"/>
  <c r="W416" i="41" s="1"/>
  <c r="G237" i="40"/>
  <c r="G242" i="40" s="1"/>
  <c r="G243" i="40" s="1"/>
  <c r="F237" i="40"/>
  <c r="F242" i="40" s="1"/>
  <c r="F243" i="40" s="1"/>
  <c r="L237" i="40"/>
  <c r="L242" i="40" s="1"/>
  <c r="L243" i="40" s="1"/>
  <c r="H237" i="40"/>
  <c r="H242" i="40" s="1"/>
  <c r="H243" i="40" s="1"/>
  <c r="J237" i="40"/>
  <c r="J242" i="40" s="1"/>
  <c r="J243" i="40" s="1"/>
  <c r="I237" i="40"/>
  <c r="I242" i="40" s="1"/>
  <c r="I243" i="40" s="1"/>
  <c r="O237" i="40"/>
  <c r="O242" i="40" s="1"/>
  <c r="O243" i="40" s="1"/>
  <c r="K237" i="40"/>
  <c r="K242" i="40" s="1"/>
  <c r="K243" i="40" s="1"/>
  <c r="P237" i="40"/>
  <c r="P242" i="40" s="1"/>
  <c r="P243" i="40" s="1"/>
  <c r="V179" i="38"/>
  <c r="V182" i="38"/>
  <c r="V199" i="38" s="1"/>
  <c r="V236" i="38"/>
  <c r="U247" i="38"/>
  <c r="I119" i="40"/>
  <c r="J118" i="40" s="1"/>
  <c r="I126" i="40"/>
  <c r="X234" i="38"/>
  <c r="W235" i="38"/>
  <c r="W169" i="38"/>
  <c r="X168" i="38"/>
  <c r="G45" i="40"/>
  <c r="G33" i="40"/>
  <c r="G42" i="40"/>
  <c r="G43" i="40" s="1"/>
  <c r="P126" i="40"/>
  <c r="P119" i="40"/>
  <c r="N119" i="40"/>
  <c r="N126" i="40"/>
  <c r="K126" i="40"/>
  <c r="K119" i="40"/>
  <c r="L118" i="40" s="1"/>
  <c r="T126" i="41"/>
  <c r="T127" i="41" s="1"/>
  <c r="T128" i="41" s="1"/>
  <c r="H43" i="41"/>
  <c r="AH30" i="35"/>
  <c r="AG31" i="35"/>
  <c r="U169" i="38"/>
  <c r="S169" i="38"/>
  <c r="R169" i="38"/>
  <c r="T169" i="38"/>
  <c r="K45" i="40"/>
  <c r="K42" i="40"/>
  <c r="K43" i="40" s="1"/>
  <c r="K33" i="40"/>
  <c r="Z294" i="41"/>
  <c r="Y317" i="41"/>
  <c r="Y323" i="41"/>
  <c r="Y328" i="41"/>
  <c r="G126" i="40"/>
  <c r="G119" i="40"/>
  <c r="Y334" i="38"/>
  <c r="W363" i="41"/>
  <c r="W376" i="41" s="1"/>
  <c r="O43" i="40"/>
  <c r="F43" i="41"/>
  <c r="U237" i="40"/>
  <c r="U242" i="40" s="1"/>
  <c r="U243" i="40" s="1"/>
  <c r="G169" i="38"/>
  <c r="F169" i="38"/>
  <c r="H169" i="38"/>
  <c r="I169" i="38"/>
  <c r="K169" i="38"/>
  <c r="J169" i="38"/>
  <c r="L169" i="38"/>
  <c r="M169" i="38"/>
  <c r="O169" i="38"/>
  <c r="N169" i="38"/>
  <c r="Q169" i="38"/>
  <c r="P169" i="38"/>
  <c r="Y53" i="41"/>
  <c r="X54" i="41"/>
  <c r="C41" i="35"/>
  <c r="B42" i="35"/>
  <c r="F119" i="40"/>
  <c r="F126" i="40"/>
  <c r="Z290" i="38"/>
  <c r="Z334" i="38" s="1"/>
  <c r="Z285" i="38"/>
  <c r="Z286" i="38"/>
  <c r="Z330" i="38" s="1"/>
  <c r="D330" i="38" s="1"/>
  <c r="Z289" i="38"/>
  <c r="Z287" i="38"/>
  <c r="Z288" i="38"/>
  <c r="Z332" i="38" s="1"/>
  <c r="Z291" i="38"/>
  <c r="Z335" i="38" s="1"/>
  <c r="X77" i="38"/>
  <c r="X87" i="38"/>
  <c r="Y76" i="38"/>
  <c r="U66" i="38"/>
  <c r="V55" i="38"/>
  <c r="X374" i="41"/>
  <c r="X385" i="41"/>
  <c r="X375" i="41"/>
  <c r="X391" i="41"/>
  <c r="X431" i="41" s="1"/>
  <c r="X394" i="41"/>
  <c r="X366" i="41" s="1"/>
  <c r="X390" i="41"/>
  <c r="X397" i="41"/>
  <c r="H126" i="40"/>
  <c r="H119" i="40"/>
  <c r="R126" i="41"/>
  <c r="R119" i="41"/>
  <c r="X53" i="38"/>
  <c r="W54" i="38"/>
  <c r="X175" i="40"/>
  <c r="X100" i="40"/>
  <c r="X79" i="40"/>
  <c r="X58" i="40"/>
  <c r="X239" i="40"/>
  <c r="X171" i="40"/>
  <c r="X173" i="40" s="1"/>
  <c r="N33" i="40"/>
  <c r="N45" i="40"/>
  <c r="N42" i="40"/>
  <c r="N43" i="40" s="1"/>
  <c r="J42" i="40"/>
  <c r="J43" i="40" s="1"/>
  <c r="J33" i="40"/>
  <c r="J45" i="40"/>
  <c r="L127" i="40"/>
  <c r="L128" i="40" s="1"/>
  <c r="H45" i="40"/>
  <c r="H42" i="40"/>
  <c r="H33" i="40"/>
  <c r="Z338" i="41"/>
  <c r="Z357" i="41" s="1"/>
  <c r="Y357" i="41"/>
  <c r="Q237" i="40"/>
  <c r="Q242" i="40" s="1"/>
  <c r="Q243" i="40" s="1"/>
  <c r="J130" i="40"/>
  <c r="Q119" i="40"/>
  <c r="Q126" i="40"/>
  <c r="F42" i="40"/>
  <c r="F43" i="40" s="1"/>
  <c r="F33" i="40"/>
  <c r="F45" i="40"/>
  <c r="Y292" i="38"/>
  <c r="Y329" i="38"/>
  <c r="H121" i="41"/>
  <c r="G121" i="41"/>
  <c r="F121" i="41"/>
  <c r="I121" i="41"/>
  <c r="J121" i="41"/>
  <c r="L121" i="41"/>
  <c r="K121" i="41"/>
  <c r="M121" i="41"/>
  <c r="N121" i="41"/>
  <c r="L45" i="40"/>
  <c r="L42" i="40"/>
  <c r="L43" i="40" s="1"/>
  <c r="L33" i="40"/>
  <c r="L130" i="40"/>
  <c r="G43" i="41"/>
  <c r="H41" i="40"/>
  <c r="S237" i="40"/>
  <c r="S242" i="40" s="1"/>
  <c r="S243" i="40" s="1"/>
  <c r="J127" i="40"/>
  <c r="J128" i="40" s="1"/>
  <c r="M119" i="40"/>
  <c r="M126" i="40"/>
  <c r="U121" i="41"/>
  <c r="S121" i="41"/>
  <c r="V176" i="41"/>
  <c r="V177" i="41" s="1"/>
  <c r="K43" i="41"/>
  <c r="I43" i="41"/>
  <c r="W76" i="40"/>
  <c r="V87" i="40"/>
  <c r="V77" i="40"/>
  <c r="V82" i="40" s="1"/>
  <c r="R41" i="41"/>
  <c r="Q194" i="40"/>
  <c r="Q192" i="40"/>
  <c r="Q190" i="40"/>
  <c r="Q205" i="40"/>
  <c r="Q189" i="40"/>
  <c r="Q193" i="40"/>
  <c r="Q183" i="40"/>
  <c r="Q191" i="40"/>
  <c r="Q195" i="40"/>
  <c r="Q197" i="40"/>
  <c r="U9" i="40"/>
  <c r="V56" i="40"/>
  <c r="V61" i="40" s="1"/>
  <c r="V66" i="40"/>
  <c r="W55" i="40"/>
  <c r="AB26" i="35"/>
  <c r="T27" i="35"/>
  <c r="G192" i="40"/>
  <c r="G190" i="40"/>
  <c r="G194" i="40"/>
  <c r="G195" i="40"/>
  <c r="G191" i="40"/>
  <c r="G189" i="40"/>
  <c r="G183" i="40"/>
  <c r="G197" i="40"/>
  <c r="G193" i="40"/>
  <c r="G205" i="40"/>
  <c r="Y399" i="41"/>
  <c r="X411" i="41"/>
  <c r="X419" i="41"/>
  <c r="U83" i="40"/>
  <c r="U120" i="40"/>
  <c r="T121" i="40"/>
  <c r="K192" i="40"/>
  <c r="K190" i="40"/>
  <c r="K195" i="40"/>
  <c r="K197" i="40"/>
  <c r="K189" i="40"/>
  <c r="K193" i="40"/>
  <c r="K191" i="40"/>
  <c r="K205" i="40"/>
  <c r="K194" i="40"/>
  <c r="K183" i="40"/>
  <c r="X119" i="38"/>
  <c r="X126" i="38"/>
  <c r="W97" i="41"/>
  <c r="V108" i="41"/>
  <c r="V98" i="41"/>
  <c r="V103" i="41" s="1"/>
  <c r="W9" i="41"/>
  <c r="W79" i="41"/>
  <c r="W175" i="41"/>
  <c r="W239" i="41"/>
  <c r="W242" i="41" s="1"/>
  <c r="W58" i="41"/>
  <c r="W171" i="41"/>
  <c r="W173" i="41" s="1"/>
  <c r="W100" i="41"/>
  <c r="S98" i="41"/>
  <c r="S103" i="41" s="1"/>
  <c r="O191" i="40"/>
  <c r="O183" i="40"/>
  <c r="O192" i="40"/>
  <c r="O195" i="40"/>
  <c r="O205" i="40"/>
  <c r="O190" i="40"/>
  <c r="O194" i="40"/>
  <c r="O197" i="40"/>
  <c r="O193" i="40"/>
  <c r="O189" i="40"/>
  <c r="V243" i="41"/>
  <c r="T98" i="41"/>
  <c r="T103" i="41" s="1"/>
  <c r="N190" i="40"/>
  <c r="N183" i="40"/>
  <c r="N205" i="40"/>
  <c r="N194" i="40"/>
  <c r="N197" i="40"/>
  <c r="N192" i="40"/>
  <c r="N191" i="40"/>
  <c r="N189" i="40"/>
  <c r="N193" i="40"/>
  <c r="N195" i="40"/>
  <c r="R104" i="41"/>
  <c r="V47" i="42"/>
  <c r="V1" i="42"/>
  <c r="W2" i="42"/>
  <c r="Y121" i="38"/>
  <c r="Z120" i="38"/>
  <c r="Z121" i="38" s="1"/>
  <c r="V5" i="47"/>
  <c r="W3" i="47"/>
  <c r="V4" i="47"/>
  <c r="V6" i="47"/>
  <c r="R30" i="35"/>
  <c r="S29" i="35"/>
  <c r="F98" i="41"/>
  <c r="F103" i="41" s="1"/>
  <c r="G98" i="41"/>
  <c r="G103" i="41" s="1"/>
  <c r="I98" i="41"/>
  <c r="I103" i="41" s="1"/>
  <c r="H98" i="41"/>
  <c r="H103" i="41" s="1"/>
  <c r="J98" i="41"/>
  <c r="J103" i="41" s="1"/>
  <c r="N98" i="41"/>
  <c r="N103" i="41" s="1"/>
  <c r="K98" i="41"/>
  <c r="K103" i="41" s="1"/>
  <c r="M98" i="41"/>
  <c r="M103" i="41" s="1"/>
  <c r="P98" i="41"/>
  <c r="P103" i="41" s="1"/>
  <c r="L98" i="41"/>
  <c r="L103" i="41" s="1"/>
  <c r="O98" i="41"/>
  <c r="O103" i="41" s="1"/>
  <c r="T180" i="41"/>
  <c r="U104" i="40"/>
  <c r="V66" i="41"/>
  <c r="W55" i="41"/>
  <c r="S40" i="41"/>
  <c r="S34" i="41"/>
  <c r="P45" i="40"/>
  <c r="P33" i="40"/>
  <c r="P42" i="40"/>
  <c r="W357" i="38"/>
  <c r="X338" i="38"/>
  <c r="V390" i="38"/>
  <c r="V397" i="38"/>
  <c r="V385" i="38"/>
  <c r="V375" i="38"/>
  <c r="V374" i="38"/>
  <c r="V394" i="38"/>
  <c r="V366" i="38" s="1"/>
  <c r="V391" i="38"/>
  <c r="V431" i="38" s="1"/>
  <c r="V119" i="41"/>
  <c r="V126" i="41"/>
  <c r="U186" i="40"/>
  <c r="Q34" i="40"/>
  <c r="Q40" i="40"/>
  <c r="M192" i="40"/>
  <c r="M197" i="40"/>
  <c r="M183" i="40"/>
  <c r="M190" i="40"/>
  <c r="M189" i="40"/>
  <c r="M194" i="40"/>
  <c r="M195" i="40"/>
  <c r="M191" i="40"/>
  <c r="M193" i="40"/>
  <c r="M205" i="40"/>
  <c r="Y97" i="38"/>
  <c r="X98" i="38"/>
  <c r="X108" i="38"/>
  <c r="U62" i="40"/>
  <c r="V247" i="40"/>
  <c r="W236" i="40"/>
  <c r="V237" i="40"/>
  <c r="V242" i="40" s="1"/>
  <c r="R127" i="40"/>
  <c r="R128" i="40" s="1"/>
  <c r="S119" i="40"/>
  <c r="S126" i="40"/>
  <c r="U363" i="38"/>
  <c r="U376" i="38" s="1"/>
  <c r="R118" i="40"/>
  <c r="R130" i="40"/>
  <c r="Z359" i="40"/>
  <c r="Y379" i="40"/>
  <c r="Y371" i="40"/>
  <c r="X120" i="41"/>
  <c r="W121" i="41"/>
  <c r="AQ25" i="35"/>
  <c r="AI26" i="35"/>
  <c r="V169" i="40"/>
  <c r="W168" i="40"/>
  <c r="V177" i="40"/>
  <c r="U186" i="41"/>
  <c r="U9" i="38"/>
  <c r="S32" i="40"/>
  <c r="R35" i="40"/>
  <c r="V108" i="40"/>
  <c r="V98" i="40"/>
  <c r="V103" i="40" s="1"/>
  <c r="W97" i="40"/>
  <c r="E34" i="35"/>
  <c r="D33" i="35"/>
  <c r="L33" i="35" s="1"/>
  <c r="H192" i="40"/>
  <c r="H194" i="40"/>
  <c r="H193" i="40"/>
  <c r="H190" i="40"/>
  <c r="H183" i="40"/>
  <c r="H197" i="40"/>
  <c r="H189" i="40"/>
  <c r="H195" i="40"/>
  <c r="H205" i="40"/>
  <c r="H191" i="40"/>
  <c r="X8" i="41"/>
  <c r="X3" i="41"/>
  <c r="Y7" i="41"/>
  <c r="X6" i="41"/>
  <c r="X2" i="41"/>
  <c r="U182" i="40"/>
  <c r="U199" i="40" s="1"/>
  <c r="U179" i="40"/>
  <c r="U187" i="40" s="1"/>
  <c r="I191" i="40"/>
  <c r="I190" i="40"/>
  <c r="I193" i="40"/>
  <c r="I205" i="40"/>
  <c r="I194" i="40"/>
  <c r="I197" i="40"/>
  <c r="I183" i="40"/>
  <c r="I195" i="40"/>
  <c r="I192" i="40"/>
  <c r="I189" i="40"/>
  <c r="L192" i="40"/>
  <c r="L190" i="40"/>
  <c r="L193" i="40"/>
  <c r="L189" i="40"/>
  <c r="L194" i="40"/>
  <c r="L183" i="40"/>
  <c r="L191" i="40"/>
  <c r="L195" i="40"/>
  <c r="L197" i="40"/>
  <c r="L205" i="40"/>
  <c r="F205" i="40"/>
  <c r="F193" i="40"/>
  <c r="F195" i="40"/>
  <c r="F183" i="40"/>
  <c r="F194" i="40"/>
  <c r="F189" i="40"/>
  <c r="F190" i="40"/>
  <c r="F192" i="40"/>
  <c r="F191" i="40"/>
  <c r="F197" i="40"/>
  <c r="T180" i="40"/>
  <c r="V169" i="41"/>
  <c r="W168" i="41"/>
  <c r="U414" i="38"/>
  <c r="U425" i="38"/>
  <c r="U430" i="38"/>
  <c r="U403" i="38" s="1"/>
  <c r="U416" i="38" s="1"/>
  <c r="U415" i="38"/>
  <c r="U434" i="38"/>
  <c r="U406" i="38" s="1"/>
  <c r="U179" i="41"/>
  <c r="U187" i="41" s="1"/>
  <c r="U182" i="41"/>
  <c r="U199" i="41" s="1"/>
  <c r="Y359" i="41"/>
  <c r="X371" i="41"/>
  <c r="X379" i="41"/>
  <c r="J194" i="40"/>
  <c r="J183" i="40"/>
  <c r="J195" i="40"/>
  <c r="J192" i="40"/>
  <c r="J189" i="40"/>
  <c r="J193" i="40"/>
  <c r="J191" i="40"/>
  <c r="J205" i="40"/>
  <c r="J197" i="40"/>
  <c r="J190" i="40"/>
  <c r="R42" i="41"/>
  <c r="R33" i="41"/>
  <c r="R45" i="41"/>
  <c r="T35" i="41"/>
  <c r="U32" i="41"/>
  <c r="Q98" i="41"/>
  <c r="Q103" i="41" s="1"/>
  <c r="P41" i="40"/>
  <c r="H23" i="42" l="1"/>
  <c r="G23" i="42"/>
  <c r="P126" i="41"/>
  <c r="P127" i="41" s="1"/>
  <c r="P128" i="41" s="1"/>
  <c r="F14" i="42"/>
  <c r="I14" i="42"/>
  <c r="H43" i="42"/>
  <c r="R43" i="41"/>
  <c r="D286" i="40"/>
  <c r="Y329" i="41"/>
  <c r="Y336" i="41" s="1"/>
  <c r="Y292" i="41"/>
  <c r="F5" i="42"/>
  <c r="Z285" i="41"/>
  <c r="Z290" i="41"/>
  <c r="I23" i="42"/>
  <c r="Z289" i="41"/>
  <c r="F23" i="42"/>
  <c r="Z291" i="41"/>
  <c r="Z335" i="41" s="1"/>
  <c r="I32" i="42"/>
  <c r="Z286" i="41"/>
  <c r="H32" i="42"/>
  <c r="Z288" i="41"/>
  <c r="Z332" i="41" s="1"/>
  <c r="I5" i="42"/>
  <c r="Z287" i="41"/>
  <c r="Z331" i="41" s="1"/>
  <c r="D331" i="41" s="1"/>
  <c r="G32" i="42"/>
  <c r="D287" i="41"/>
  <c r="G44" i="42"/>
  <c r="G14" i="42"/>
  <c r="X176" i="40"/>
  <c r="I187" i="41"/>
  <c r="X328" i="38"/>
  <c r="Y294" i="38"/>
  <c r="X317" i="38"/>
  <c r="X323" i="38"/>
  <c r="O119" i="41"/>
  <c r="V82" i="38"/>
  <c r="V83" i="38" s="1"/>
  <c r="U119" i="38"/>
  <c r="U130" i="38" s="1"/>
  <c r="Q33" i="38"/>
  <c r="V176" i="38"/>
  <c r="V177" i="38" s="1"/>
  <c r="V186" i="38" s="1"/>
  <c r="Q119" i="41"/>
  <c r="V18" i="47"/>
  <c r="V19" i="47" s="1"/>
  <c r="V8" i="47" s="1"/>
  <c r="R119" i="38"/>
  <c r="R130" i="38" s="1"/>
  <c r="Y228" i="38"/>
  <c r="J187" i="41"/>
  <c r="J180" i="41"/>
  <c r="Q187" i="41"/>
  <c r="Q180" i="41"/>
  <c r="M205" i="41"/>
  <c r="M192" i="41"/>
  <c r="M190" i="41"/>
  <c r="M195" i="41"/>
  <c r="M193" i="41"/>
  <c r="M189" i="41"/>
  <c r="M191" i="41"/>
  <c r="M183" i="41"/>
  <c r="M194" i="41"/>
  <c r="M197" i="41"/>
  <c r="K18" i="47"/>
  <c r="K19" i="47" s="1"/>
  <c r="K8" i="47" s="1"/>
  <c r="J83" i="38"/>
  <c r="Q83" i="38"/>
  <c r="R18" i="47"/>
  <c r="R19" i="47" s="1"/>
  <c r="R8" i="47" s="1"/>
  <c r="G49" i="42"/>
  <c r="F49" i="42"/>
  <c r="D330" i="40"/>
  <c r="K119" i="38"/>
  <c r="L118" i="38" s="1"/>
  <c r="K126" i="38"/>
  <c r="K127" i="38" s="1"/>
  <c r="K128" i="38" s="1"/>
  <c r="V126" i="38"/>
  <c r="V127" i="38" s="1"/>
  <c r="V128" i="38" s="1"/>
  <c r="V119" i="38"/>
  <c r="L180" i="41"/>
  <c r="L187" i="41"/>
  <c r="K83" i="38"/>
  <c r="L18" i="47"/>
  <c r="L19" i="47" s="1"/>
  <c r="L8" i="47" s="1"/>
  <c r="I83" i="38"/>
  <c r="J18" i="47"/>
  <c r="J19" i="47" s="1"/>
  <c r="J8" i="47" s="1"/>
  <c r="Y336" i="40"/>
  <c r="W119" i="38"/>
  <c r="X118" i="38" s="1"/>
  <c r="W126" i="38"/>
  <c r="W127" i="38" s="1"/>
  <c r="W128" i="38" s="1"/>
  <c r="G187" i="41"/>
  <c r="G180" i="41"/>
  <c r="H180" i="41"/>
  <c r="H187" i="41"/>
  <c r="O119" i="38"/>
  <c r="O126" i="38"/>
  <c r="O127" i="38" s="1"/>
  <c r="O128" i="38" s="1"/>
  <c r="I119" i="38"/>
  <c r="I126" i="38"/>
  <c r="I127" i="38" s="1"/>
  <c r="I128" i="38" s="1"/>
  <c r="N18" i="47"/>
  <c r="N19" i="47" s="1"/>
  <c r="N8" i="47" s="1"/>
  <c r="M83" i="38"/>
  <c r="F83" i="38"/>
  <c r="G18" i="47"/>
  <c r="G19" i="47" s="1"/>
  <c r="G8" i="47" s="1"/>
  <c r="S126" i="38"/>
  <c r="S127" i="38" s="1"/>
  <c r="S128" i="38" s="1"/>
  <c r="S119" i="38"/>
  <c r="K180" i="41"/>
  <c r="K187" i="41"/>
  <c r="F187" i="41"/>
  <c r="F180" i="41"/>
  <c r="D290" i="40"/>
  <c r="N126" i="38"/>
  <c r="N127" i="38" s="1"/>
  <c r="N128" i="38" s="1"/>
  <c r="N119" i="38"/>
  <c r="O83" i="38"/>
  <c r="P18" i="47"/>
  <c r="P19" i="47" s="1"/>
  <c r="P8" i="47" s="1"/>
  <c r="S83" i="38"/>
  <c r="T18" i="47"/>
  <c r="T19" i="47" s="1"/>
  <c r="T8" i="47" s="1"/>
  <c r="P187" i="41"/>
  <c r="P180" i="41"/>
  <c r="F126" i="38"/>
  <c r="F127" i="38" s="1"/>
  <c r="F128" i="38" s="1"/>
  <c r="F119" i="38"/>
  <c r="O187" i="41"/>
  <c r="O180" i="41"/>
  <c r="D334" i="40"/>
  <c r="J119" i="38"/>
  <c r="J126" i="38"/>
  <c r="J127" i="38" s="1"/>
  <c r="J128" i="38" s="1"/>
  <c r="T83" i="38"/>
  <c r="U18" i="47"/>
  <c r="U19" i="47" s="1"/>
  <c r="U8" i="47" s="1"/>
  <c r="P83" i="38"/>
  <c r="Q18" i="47"/>
  <c r="Q19" i="47" s="1"/>
  <c r="Q8" i="47" s="1"/>
  <c r="T126" i="38"/>
  <c r="T127" i="38" s="1"/>
  <c r="T128" i="38" s="1"/>
  <c r="T119" i="38"/>
  <c r="D287" i="40"/>
  <c r="M119" i="38"/>
  <c r="M126" i="38"/>
  <c r="M127" i="38" s="1"/>
  <c r="M128" i="38" s="1"/>
  <c r="I191" i="41"/>
  <c r="I183" i="41"/>
  <c r="I193" i="41"/>
  <c r="I194" i="41"/>
  <c r="I189" i="41"/>
  <c r="I197" i="41"/>
  <c r="I192" i="41"/>
  <c r="I190" i="41"/>
  <c r="I195" i="41"/>
  <c r="I205" i="41"/>
  <c r="H83" i="38"/>
  <c r="I18" i="47"/>
  <c r="I19" i="47" s="1"/>
  <c r="I8" i="47" s="1"/>
  <c r="H126" i="38"/>
  <c r="H127" i="38" s="1"/>
  <c r="H128" i="38" s="1"/>
  <c r="H119" i="38"/>
  <c r="L130" i="38"/>
  <c r="G126" i="38"/>
  <c r="G127" i="38" s="1"/>
  <c r="G128" i="38" s="1"/>
  <c r="G119" i="38"/>
  <c r="N83" i="38"/>
  <c r="O18" i="47"/>
  <c r="O19" i="47" s="1"/>
  <c r="O8" i="47" s="1"/>
  <c r="M18" i="47"/>
  <c r="M19" i="47" s="1"/>
  <c r="M8" i="47" s="1"/>
  <c r="L83" i="38"/>
  <c r="P126" i="38"/>
  <c r="P127" i="38" s="1"/>
  <c r="P128" i="38" s="1"/>
  <c r="P119" i="38"/>
  <c r="Z329" i="40"/>
  <c r="Z336" i="40" s="1"/>
  <c r="Z292" i="40"/>
  <c r="P43" i="40"/>
  <c r="S187" i="41"/>
  <c r="S180" i="41"/>
  <c r="R83" i="38"/>
  <c r="S18" i="47"/>
  <c r="S19" i="47" s="1"/>
  <c r="S8" i="47" s="1"/>
  <c r="G83" i="38"/>
  <c r="H18" i="47"/>
  <c r="H19" i="47" s="1"/>
  <c r="H8" i="47" s="1"/>
  <c r="D285" i="40"/>
  <c r="R187" i="41"/>
  <c r="R180" i="41"/>
  <c r="N187" i="41"/>
  <c r="N180" i="41"/>
  <c r="X397" i="40"/>
  <c r="X375" i="40"/>
  <c r="X374" i="40"/>
  <c r="X385" i="40"/>
  <c r="X394" i="40"/>
  <c r="X366" i="40" s="1"/>
  <c r="X391" i="40"/>
  <c r="X431" i="40" s="1"/>
  <c r="X390" i="40"/>
  <c r="P41" i="38"/>
  <c r="H42" i="38"/>
  <c r="H43" i="38" s="1"/>
  <c r="H33" i="38"/>
  <c r="H45" i="38"/>
  <c r="P45" i="38"/>
  <c r="P42" i="38"/>
  <c r="P33" i="38"/>
  <c r="W363" i="40"/>
  <c r="W376" i="40" s="1"/>
  <c r="G45" i="38"/>
  <c r="G33" i="38"/>
  <c r="G42" i="38"/>
  <c r="G43" i="38" s="1"/>
  <c r="V325" i="41"/>
  <c r="V326" i="41" s="1"/>
  <c r="V41" i="38"/>
  <c r="I33" i="38"/>
  <c r="I45" i="38"/>
  <c r="I42" i="38"/>
  <c r="I43" i="38" s="1"/>
  <c r="W33" i="38"/>
  <c r="W42" i="38"/>
  <c r="W43" i="38" s="1"/>
  <c r="W45" i="38"/>
  <c r="V45" i="38"/>
  <c r="V42" i="38"/>
  <c r="V33" i="38"/>
  <c r="S33" i="38"/>
  <c r="S45" i="38"/>
  <c r="S42" i="38"/>
  <c r="S43" i="38" s="1"/>
  <c r="X42" i="38"/>
  <c r="X43" i="38" s="1"/>
  <c r="X33" i="38"/>
  <c r="X45" i="38"/>
  <c r="J33" i="38"/>
  <c r="J42" i="38"/>
  <c r="J43" i="38" s="1"/>
  <c r="J45" i="38"/>
  <c r="O33" i="38"/>
  <c r="O45" i="38"/>
  <c r="O42" i="38"/>
  <c r="O43" i="38" s="1"/>
  <c r="W414" i="40"/>
  <c r="W415" i="40"/>
  <c r="W434" i="40"/>
  <c r="W406" i="40" s="1"/>
  <c r="W425" i="40"/>
  <c r="W430" i="40"/>
  <c r="W403" i="40" s="1"/>
  <c r="W416" i="40" s="1"/>
  <c r="L42" i="38"/>
  <c r="L43" i="38" s="1"/>
  <c r="L33" i="38"/>
  <c r="L45" i="38"/>
  <c r="K45" i="38"/>
  <c r="K33" i="38"/>
  <c r="K42" i="38"/>
  <c r="K43" i="38" s="1"/>
  <c r="Y34" i="38"/>
  <c r="Y40" i="38"/>
  <c r="Y41" i="38" s="1"/>
  <c r="U33" i="38"/>
  <c r="T42" i="38"/>
  <c r="T43" i="38" s="1"/>
  <c r="T45" i="38"/>
  <c r="T33" i="38"/>
  <c r="R42" i="38"/>
  <c r="R43" i="38" s="1"/>
  <c r="R33" i="38"/>
  <c r="R45" i="38"/>
  <c r="M42" i="38"/>
  <c r="M43" i="38" s="1"/>
  <c r="M33" i="38"/>
  <c r="M45" i="38"/>
  <c r="N45" i="38"/>
  <c r="N33" i="38"/>
  <c r="N42" i="38"/>
  <c r="N43" i="38" s="1"/>
  <c r="Z34" i="38"/>
  <c r="Z40" i="38"/>
  <c r="Z41" i="38" s="1"/>
  <c r="Y357" i="40"/>
  <c r="Z338" i="40"/>
  <c r="Z357" i="40" s="1"/>
  <c r="F45" i="38"/>
  <c r="F42" i="38"/>
  <c r="F43" i="38" s="1"/>
  <c r="F33" i="38"/>
  <c r="Z257" i="40"/>
  <c r="Z265" i="40" s="1"/>
  <c r="Z364" i="40"/>
  <c r="Z404" i="40"/>
  <c r="Z155" i="40"/>
  <c r="Z142" i="40"/>
  <c r="Z150" i="40" s="1"/>
  <c r="Z275" i="40"/>
  <c r="Z350" i="40"/>
  <c r="Z225" i="40"/>
  <c r="Z158" i="40"/>
  <c r="Z365" i="40"/>
  <c r="Z156" i="40"/>
  <c r="Z230" i="40"/>
  <c r="Z227" i="40"/>
  <c r="Z162" i="40"/>
  <c r="Z272" i="40"/>
  <c r="Z270" i="40"/>
  <c r="Z212" i="40"/>
  <c r="Z220" i="40" s="1"/>
  <c r="Z405" i="40"/>
  <c r="Z418" i="40" s="1"/>
  <c r="Y159" i="38"/>
  <c r="Y226" i="40"/>
  <c r="Y228" i="40" s="1"/>
  <c r="Z74" i="41"/>
  <c r="Y75" i="41"/>
  <c r="W377" i="41"/>
  <c r="W392" i="41"/>
  <c r="H43" i="40"/>
  <c r="X363" i="41"/>
  <c r="X376" i="41" s="1"/>
  <c r="Y393" i="40"/>
  <c r="Y378" i="40"/>
  <c r="Y324" i="38"/>
  <c r="Y271" i="38"/>
  <c r="W393" i="41"/>
  <c r="W378" i="41"/>
  <c r="W226" i="41"/>
  <c r="W228" i="41" s="1"/>
  <c r="X350" i="41"/>
  <c r="X162" i="41"/>
  <c r="X158" i="41"/>
  <c r="X227" i="41"/>
  <c r="X272" i="41"/>
  <c r="Y140" i="41"/>
  <c r="X212" i="41"/>
  <c r="X220" i="41" s="1"/>
  <c r="X155" i="41"/>
  <c r="X157" i="41" s="1"/>
  <c r="X230" i="41"/>
  <c r="X270" i="41"/>
  <c r="X156" i="41"/>
  <c r="X275" i="41"/>
  <c r="X257" i="41"/>
  <c r="X265" i="41" s="1"/>
  <c r="X225" i="41"/>
  <c r="X226" i="41" s="1"/>
  <c r="X364" i="41"/>
  <c r="X142" i="41"/>
  <c r="X150" i="41" s="1"/>
  <c r="X404" i="41"/>
  <c r="X405" i="41"/>
  <c r="X418" i="41" s="1"/>
  <c r="X365" i="41"/>
  <c r="W159" i="41"/>
  <c r="D334" i="38"/>
  <c r="X325" i="40"/>
  <c r="X326" i="40" s="1"/>
  <c r="X273" i="40"/>
  <c r="X433" i="40" s="1"/>
  <c r="X273" i="38"/>
  <c r="X433" i="38" s="1"/>
  <c r="X325" i="38"/>
  <c r="Y377" i="40"/>
  <c r="Y392" i="40"/>
  <c r="Y392" i="38"/>
  <c r="Y377" i="38"/>
  <c r="Y432" i="38"/>
  <c r="Y417" i="38"/>
  <c r="W271" i="41"/>
  <c r="W324" i="41"/>
  <c r="W277" i="41"/>
  <c r="W308" i="41" s="1"/>
  <c r="W100" i="38"/>
  <c r="W103" i="38" s="1"/>
  <c r="W104" i="38" s="1"/>
  <c r="W171" i="38"/>
  <c r="W173" i="38" s="1"/>
  <c r="W79" i="38"/>
  <c r="W82" i="38" s="1"/>
  <c r="W83" i="38" s="1"/>
  <c r="W58" i="38"/>
  <c r="W175" i="38"/>
  <c r="W239" i="38"/>
  <c r="X326" i="38"/>
  <c r="Y277" i="40"/>
  <c r="Y308" i="40" s="1"/>
  <c r="Y432" i="40"/>
  <c r="Y417" i="40"/>
  <c r="Y393" i="38"/>
  <c r="Y378" i="38"/>
  <c r="Z142" i="38"/>
  <c r="Z150" i="38" s="1"/>
  <c r="Z257" i="38"/>
  <c r="Z265" i="38" s="1"/>
  <c r="Z270" i="38"/>
  <c r="Z158" i="38"/>
  <c r="Z365" i="38"/>
  <c r="Z405" i="38"/>
  <c r="Z418" i="38" s="1"/>
  <c r="Z230" i="38"/>
  <c r="Z162" i="38"/>
  <c r="Z227" i="38"/>
  <c r="Z404" i="38"/>
  <c r="Z275" i="38"/>
  <c r="Z212" i="38"/>
  <c r="Z220" i="38" s="1"/>
  <c r="Z350" i="38"/>
  <c r="Z272" i="38"/>
  <c r="Z155" i="38"/>
  <c r="Z157" i="38" s="1"/>
  <c r="Z225" i="38"/>
  <c r="Z226" i="38" s="1"/>
  <c r="Z156" i="38"/>
  <c r="Z364" i="38"/>
  <c r="Z236" i="41"/>
  <c r="Y237" i="41"/>
  <c r="Y247" i="41"/>
  <c r="X3" i="38"/>
  <c r="X2" i="38"/>
  <c r="Y7" i="38"/>
  <c r="X8" i="38"/>
  <c r="X6" i="38"/>
  <c r="Y324" i="40"/>
  <c r="Y271" i="40"/>
  <c r="Y277" i="38"/>
  <c r="Y308" i="38" s="1"/>
  <c r="W417" i="41"/>
  <c r="W432" i="41"/>
  <c r="Y157" i="40"/>
  <c r="Y159" i="40" s="1"/>
  <c r="V273" i="41"/>
  <c r="V433" i="41" s="1"/>
  <c r="S126" i="41"/>
  <c r="S127" i="41" s="1"/>
  <c r="S128" i="41" s="1"/>
  <c r="S119" i="41"/>
  <c r="T118" i="41" s="1"/>
  <c r="M127" i="40"/>
  <c r="M128" i="40" s="1"/>
  <c r="J119" i="41"/>
  <c r="J126" i="41"/>
  <c r="P182" i="38"/>
  <c r="P199" i="38" s="1"/>
  <c r="P179" i="38"/>
  <c r="I182" i="38"/>
  <c r="I199" i="38" s="1"/>
  <c r="I179" i="38"/>
  <c r="D290" i="38"/>
  <c r="K118" i="40"/>
  <c r="K130" i="40"/>
  <c r="Y234" i="38"/>
  <c r="X235" i="38"/>
  <c r="M118" i="40"/>
  <c r="M130" i="40"/>
  <c r="I119" i="41"/>
  <c r="I126" i="41"/>
  <c r="I127" i="41" s="1"/>
  <c r="I128" i="41" s="1"/>
  <c r="H118" i="40"/>
  <c r="H130" i="40"/>
  <c r="Q182" i="38"/>
  <c r="Q199" i="38" s="1"/>
  <c r="Q179" i="38"/>
  <c r="H182" i="38"/>
  <c r="H199" i="38" s="1"/>
  <c r="H179" i="38"/>
  <c r="K127" i="40"/>
  <c r="K128" i="40" s="1"/>
  <c r="X169" i="38"/>
  <c r="Y168" i="38"/>
  <c r="O118" i="40"/>
  <c r="O130" i="40"/>
  <c r="F119" i="41"/>
  <c r="F126" i="41"/>
  <c r="H127" i="40"/>
  <c r="H128" i="40" s="1"/>
  <c r="Y77" i="38"/>
  <c r="Y87" i="38"/>
  <c r="Z76" i="38"/>
  <c r="Z292" i="38"/>
  <c r="Z329" i="38"/>
  <c r="D329" i="38" s="1"/>
  <c r="F127" i="40"/>
  <c r="F128" i="40" s="1"/>
  <c r="B43" i="35"/>
  <c r="C42" i="35"/>
  <c r="N182" i="38"/>
  <c r="N199" i="38" s="1"/>
  <c r="N179" i="38"/>
  <c r="F182" i="38"/>
  <c r="F199" i="38" s="1"/>
  <c r="F179" i="38"/>
  <c r="T182" i="38"/>
  <c r="T199" i="38" s="1"/>
  <c r="T179" i="38"/>
  <c r="N127" i="40"/>
  <c r="N128" i="40" s="1"/>
  <c r="W182" i="38"/>
  <c r="W199" i="38" s="1"/>
  <c r="W179" i="38"/>
  <c r="W187" i="38" s="1"/>
  <c r="V187" i="38"/>
  <c r="V180" i="38"/>
  <c r="G126" i="41"/>
  <c r="G119" i="41"/>
  <c r="Y391" i="41"/>
  <c r="Y431" i="41" s="1"/>
  <c r="Y397" i="41"/>
  <c r="Y374" i="41"/>
  <c r="Y375" i="41"/>
  <c r="Y385" i="41"/>
  <c r="Y394" i="41"/>
  <c r="Y366" i="41" s="1"/>
  <c r="Y390" i="41"/>
  <c r="X54" i="38"/>
  <c r="Y53" i="38"/>
  <c r="F130" i="40"/>
  <c r="F118" i="40"/>
  <c r="O182" i="38"/>
  <c r="O199" i="38" s="1"/>
  <c r="O179" i="38"/>
  <c r="G182" i="38"/>
  <c r="G199" i="38" s="1"/>
  <c r="G179" i="38"/>
  <c r="Z317" i="41"/>
  <c r="Z328" i="41"/>
  <c r="Z323" i="41"/>
  <c r="R182" i="38"/>
  <c r="R199" i="38" s="1"/>
  <c r="R179" i="38"/>
  <c r="T130" i="41"/>
  <c r="N118" i="40"/>
  <c r="N130" i="40"/>
  <c r="P130" i="41"/>
  <c r="P118" i="41"/>
  <c r="Q130" i="41"/>
  <c r="Q118" i="41"/>
  <c r="U180" i="41"/>
  <c r="U192" i="41" s="1"/>
  <c r="N126" i="41"/>
  <c r="N119" i="41"/>
  <c r="O118" i="41" s="1"/>
  <c r="H119" i="41"/>
  <c r="H126" i="41"/>
  <c r="Z397" i="41"/>
  <c r="Z374" i="41"/>
  <c r="Z390" i="41"/>
  <c r="Z391" i="41"/>
  <c r="Z431" i="41" s="1"/>
  <c r="Z394" i="41"/>
  <c r="Z366" i="41" s="1"/>
  <c r="Z375" i="41"/>
  <c r="Z385" i="41"/>
  <c r="M182" i="38"/>
  <c r="M199" i="38" s="1"/>
  <c r="M179" i="38"/>
  <c r="S182" i="38"/>
  <c r="S199" i="38" s="1"/>
  <c r="S179" i="38"/>
  <c r="P130" i="40"/>
  <c r="P118" i="40"/>
  <c r="I127" i="40"/>
  <c r="I128" i="40" s="1"/>
  <c r="Z2" i="40"/>
  <c r="Z6" i="40"/>
  <c r="Z8" i="40"/>
  <c r="S12" i="40" s="1"/>
  <c r="Z3" i="40"/>
  <c r="Q127" i="41"/>
  <c r="Q128" i="41" s="1"/>
  <c r="M126" i="41"/>
  <c r="M127" i="41" s="1"/>
  <c r="M128" i="41" s="1"/>
  <c r="M119" i="41"/>
  <c r="Y336" i="38"/>
  <c r="R130" i="41"/>
  <c r="R118" i="41"/>
  <c r="Z53" i="41"/>
  <c r="Z54" i="41" s="1"/>
  <c r="Y54" i="41"/>
  <c r="L182" i="38"/>
  <c r="L199" i="38" s="1"/>
  <c r="L179" i="38"/>
  <c r="U182" i="38"/>
  <c r="U199" i="38" s="1"/>
  <c r="U179" i="38"/>
  <c r="P127" i="40"/>
  <c r="P128" i="40" s="1"/>
  <c r="I130" i="40"/>
  <c r="I118" i="40"/>
  <c r="Y171" i="40"/>
  <c r="Y173" i="40" s="1"/>
  <c r="Y58" i="40"/>
  <c r="Y239" i="40"/>
  <c r="Y175" i="40"/>
  <c r="Y79" i="40"/>
  <c r="Y100" i="40"/>
  <c r="D285" i="38"/>
  <c r="K119" i="41"/>
  <c r="K126" i="41"/>
  <c r="K127" i="41" s="1"/>
  <c r="K128" i="41" s="1"/>
  <c r="Q127" i="40"/>
  <c r="Q128" i="40" s="1"/>
  <c r="R127" i="41"/>
  <c r="R128" i="41" s="1"/>
  <c r="J182" i="38"/>
  <c r="J199" i="38" s="1"/>
  <c r="J179" i="38"/>
  <c r="G130" i="40"/>
  <c r="G118" i="40"/>
  <c r="AG32" i="35"/>
  <c r="AH31" i="35"/>
  <c r="V363" i="38"/>
  <c r="V376" i="38" s="1"/>
  <c r="U119" i="41"/>
  <c r="U126" i="41"/>
  <c r="U127" i="41" s="1"/>
  <c r="U128" i="41" s="1"/>
  <c r="D286" i="38"/>
  <c r="L126" i="41"/>
  <c r="L119" i="41"/>
  <c r="Q130" i="40"/>
  <c r="Q118" i="40"/>
  <c r="X425" i="41"/>
  <c r="X430" i="41"/>
  <c r="X403" i="41" s="1"/>
  <c r="X416" i="41" s="1"/>
  <c r="X414" i="41"/>
  <c r="X434" i="41"/>
  <c r="X406" i="41" s="1"/>
  <c r="X415" i="41"/>
  <c r="W55" i="38"/>
  <c r="V66" i="38"/>
  <c r="Z331" i="38"/>
  <c r="D331" i="38" s="1"/>
  <c r="D287" i="38"/>
  <c r="K182" i="38"/>
  <c r="K199" i="38" s="1"/>
  <c r="K179" i="38"/>
  <c r="G127" i="40"/>
  <c r="G128" i="40" s="1"/>
  <c r="W236" i="38"/>
  <c r="V247" i="38"/>
  <c r="O130" i="41"/>
  <c r="Q41" i="40"/>
  <c r="S33" i="41"/>
  <c r="S45" i="41"/>
  <c r="S42" i="41"/>
  <c r="Z119" i="38"/>
  <c r="Z126" i="38"/>
  <c r="X127" i="38"/>
  <c r="X128" i="38" s="1"/>
  <c r="V83" i="40"/>
  <c r="Q104" i="41"/>
  <c r="X239" i="41"/>
  <c r="X242" i="41" s="1"/>
  <c r="X58" i="41"/>
  <c r="X79" i="41"/>
  <c r="X175" i="41"/>
  <c r="X100" i="41"/>
  <c r="X171" i="41"/>
  <c r="X173" i="41" s="1"/>
  <c r="Z97" i="38"/>
  <c r="Y98" i="38"/>
  <c r="Y108" i="38"/>
  <c r="Q45" i="40"/>
  <c r="Q42" i="40"/>
  <c r="Q33" i="40"/>
  <c r="U180" i="40"/>
  <c r="S41" i="41"/>
  <c r="T191" i="41"/>
  <c r="T192" i="41"/>
  <c r="T183" i="41"/>
  <c r="T197" i="41"/>
  <c r="T189" i="41"/>
  <c r="T194" i="41"/>
  <c r="T205" i="41"/>
  <c r="T193" i="41"/>
  <c r="T195" i="41"/>
  <c r="T190" i="41"/>
  <c r="N104" i="41"/>
  <c r="Y126" i="38"/>
  <c r="Y119" i="38"/>
  <c r="W47" i="42"/>
  <c r="X2" i="42"/>
  <c r="W1" i="42"/>
  <c r="W176" i="41"/>
  <c r="W177" i="41" s="1"/>
  <c r="X9" i="41"/>
  <c r="X130" i="38"/>
  <c r="V62" i="40"/>
  <c r="AQ26" i="35"/>
  <c r="AI27" i="35"/>
  <c r="X97" i="40"/>
  <c r="W98" i="40"/>
  <c r="W103" i="40" s="1"/>
  <c r="W108" i="40"/>
  <c r="V186" i="40"/>
  <c r="V415" i="38"/>
  <c r="V430" i="38"/>
  <c r="V403" i="38" s="1"/>
  <c r="V416" i="38" s="1"/>
  <c r="V434" i="38"/>
  <c r="V406" i="38" s="1"/>
  <c r="V414" i="38"/>
  <c r="V425" i="38"/>
  <c r="J104" i="41"/>
  <c r="T104" i="41"/>
  <c r="AB27" i="35"/>
  <c r="T28" i="35"/>
  <c r="V9" i="40"/>
  <c r="W77" i="40"/>
  <c r="W82" i="40" s="1"/>
  <c r="X76" i="40"/>
  <c r="W87" i="40"/>
  <c r="Z7" i="41"/>
  <c r="Y3" i="41"/>
  <c r="Y8" i="41"/>
  <c r="Y6" i="41"/>
  <c r="Y2" i="41"/>
  <c r="V104" i="40"/>
  <c r="R40" i="40"/>
  <c r="R34" i="40"/>
  <c r="X168" i="40"/>
  <c r="W169" i="40"/>
  <c r="W177" i="40"/>
  <c r="V243" i="40"/>
  <c r="V127" i="41"/>
  <c r="V128" i="41" s="1"/>
  <c r="H104" i="41"/>
  <c r="W243" i="41"/>
  <c r="V104" i="41"/>
  <c r="Z379" i="40"/>
  <c r="Z371" i="40"/>
  <c r="K104" i="41"/>
  <c r="T205" i="40"/>
  <c r="T197" i="40"/>
  <c r="T193" i="40"/>
  <c r="T194" i="40"/>
  <c r="T192" i="40"/>
  <c r="T189" i="40"/>
  <c r="T195" i="40"/>
  <c r="T191" i="40"/>
  <c r="T183" i="40"/>
  <c r="T190" i="40"/>
  <c r="E35" i="35"/>
  <c r="D34" i="35"/>
  <c r="L34" i="35" s="1"/>
  <c r="T32" i="40"/>
  <c r="S35" i="40"/>
  <c r="V182" i="40"/>
  <c r="V199" i="40" s="1"/>
  <c r="V179" i="40"/>
  <c r="V187" i="40" s="1"/>
  <c r="W247" i="40"/>
  <c r="X236" i="40"/>
  <c r="W237" i="40"/>
  <c r="W242" i="40" s="1"/>
  <c r="V130" i="41"/>
  <c r="X55" i="41"/>
  <c r="W66" i="41"/>
  <c r="O104" i="41"/>
  <c r="I104" i="41"/>
  <c r="Z399" i="41"/>
  <c r="Y411" i="41"/>
  <c r="Y419" i="41"/>
  <c r="Y371" i="41"/>
  <c r="Z359" i="41"/>
  <c r="Y379" i="41"/>
  <c r="W169" i="41"/>
  <c r="X168" i="41"/>
  <c r="S127" i="40"/>
  <c r="S128" i="40" s="1"/>
  <c r="L104" i="41"/>
  <c r="G104" i="41"/>
  <c r="S104" i="41"/>
  <c r="W108" i="41"/>
  <c r="X97" i="41"/>
  <c r="W98" i="41"/>
  <c r="W103" i="41" s="1"/>
  <c r="V182" i="41"/>
  <c r="V199" i="41" s="1"/>
  <c r="V179" i="41"/>
  <c r="V187" i="41" s="1"/>
  <c r="V9" i="38"/>
  <c r="W126" i="41"/>
  <c r="W119" i="41"/>
  <c r="S130" i="40"/>
  <c r="S118" i="40"/>
  <c r="X357" i="38"/>
  <c r="Y338" i="38"/>
  <c r="V186" i="41"/>
  <c r="P104" i="41"/>
  <c r="F104" i="41"/>
  <c r="R31" i="35"/>
  <c r="S30" i="35"/>
  <c r="X3" i="47"/>
  <c r="W5" i="47"/>
  <c r="W4" i="47"/>
  <c r="W6" i="47"/>
  <c r="T126" i="40"/>
  <c r="T119" i="40"/>
  <c r="U35" i="41"/>
  <c r="V32" i="41"/>
  <c r="T40" i="41"/>
  <c r="T34" i="41"/>
  <c r="Y120" i="41"/>
  <c r="X121" i="41"/>
  <c r="W391" i="38"/>
  <c r="W431" i="38" s="1"/>
  <c r="W385" i="38"/>
  <c r="W397" i="38"/>
  <c r="W394" i="38"/>
  <c r="W366" i="38" s="1"/>
  <c r="W390" i="38"/>
  <c r="W374" i="38"/>
  <c r="W375" i="38"/>
  <c r="M104" i="41"/>
  <c r="U121" i="40"/>
  <c r="V120" i="40"/>
  <c r="W66" i="40"/>
  <c r="W56" i="40"/>
  <c r="W61" i="40" s="1"/>
  <c r="X55" i="40"/>
  <c r="Z334" i="41" l="1"/>
  <c r="D334" i="41" s="1"/>
  <c r="D290" i="41"/>
  <c r="Z329" i="41"/>
  <c r="Z292" i="41"/>
  <c r="D285" i="41"/>
  <c r="Z330" i="41"/>
  <c r="D330" i="41" s="1"/>
  <c r="D286" i="41"/>
  <c r="F43" i="42"/>
  <c r="F44" i="42"/>
  <c r="I43" i="42"/>
  <c r="I44" i="42"/>
  <c r="W18" i="47"/>
  <c r="W19" i="47" s="1"/>
  <c r="W8" i="47" s="1"/>
  <c r="Y323" i="38"/>
  <c r="Y328" i="38"/>
  <c r="Y317" i="38"/>
  <c r="Z294" i="38"/>
  <c r="L12" i="40"/>
  <c r="L11" i="40" s="1"/>
  <c r="M12" i="40"/>
  <c r="R118" i="38"/>
  <c r="U183" i="41"/>
  <c r="U205" i="41"/>
  <c r="Y176" i="40"/>
  <c r="W56" i="41"/>
  <c r="W61" i="41" s="1"/>
  <c r="P43" i="38"/>
  <c r="N183" i="41"/>
  <c r="N197" i="41"/>
  <c r="N191" i="41"/>
  <c r="N192" i="41"/>
  <c r="N193" i="41"/>
  <c r="N195" i="41"/>
  <c r="N189" i="41"/>
  <c r="N190" i="41"/>
  <c r="N205" i="41"/>
  <c r="N194" i="41"/>
  <c r="Q118" i="38"/>
  <c r="P130" i="38"/>
  <c r="P118" i="38"/>
  <c r="P197" i="41"/>
  <c r="P192" i="41"/>
  <c r="P190" i="41"/>
  <c r="P194" i="41"/>
  <c r="P193" i="41"/>
  <c r="P195" i="41"/>
  <c r="P189" i="41"/>
  <c r="P183" i="41"/>
  <c r="P205" i="41"/>
  <c r="P191" i="41"/>
  <c r="H183" i="41"/>
  <c r="H191" i="41"/>
  <c r="H192" i="41"/>
  <c r="H205" i="41"/>
  <c r="H194" i="41"/>
  <c r="H193" i="41"/>
  <c r="H190" i="41"/>
  <c r="H189" i="41"/>
  <c r="H195" i="41"/>
  <c r="H197" i="41"/>
  <c r="K130" i="38"/>
  <c r="K118" i="38"/>
  <c r="S191" i="41"/>
  <c r="S190" i="41"/>
  <c r="S197" i="41"/>
  <c r="S195" i="41"/>
  <c r="S193" i="41"/>
  <c r="S205" i="41"/>
  <c r="S192" i="41"/>
  <c r="S189" i="41"/>
  <c r="S183" i="41"/>
  <c r="S194" i="41"/>
  <c r="M130" i="38"/>
  <c r="M118" i="38"/>
  <c r="F194" i="41"/>
  <c r="F193" i="41"/>
  <c r="F192" i="41"/>
  <c r="F183" i="41"/>
  <c r="F191" i="41"/>
  <c r="F189" i="41"/>
  <c r="F205" i="41"/>
  <c r="F195" i="41"/>
  <c r="F197" i="41"/>
  <c r="F190" i="41"/>
  <c r="G205" i="41"/>
  <c r="G183" i="41"/>
  <c r="G190" i="41"/>
  <c r="G193" i="41"/>
  <c r="G191" i="41"/>
  <c r="G194" i="41"/>
  <c r="G189" i="41"/>
  <c r="G197" i="41"/>
  <c r="G192" i="41"/>
  <c r="G195" i="41"/>
  <c r="V43" i="38"/>
  <c r="R191" i="41"/>
  <c r="R183" i="41"/>
  <c r="R193" i="41"/>
  <c r="R194" i="41"/>
  <c r="R190" i="41"/>
  <c r="R205" i="41"/>
  <c r="R189" i="41"/>
  <c r="R192" i="41"/>
  <c r="R195" i="41"/>
  <c r="R197" i="41"/>
  <c r="H118" i="38"/>
  <c r="H130" i="38"/>
  <c r="J130" i="38"/>
  <c r="J118" i="38"/>
  <c r="Q189" i="41"/>
  <c r="Q192" i="41"/>
  <c r="Q205" i="41"/>
  <c r="Q191" i="41"/>
  <c r="Q197" i="41"/>
  <c r="Q183" i="41"/>
  <c r="Q190" i="41"/>
  <c r="Q193" i="41"/>
  <c r="Q194" i="41"/>
  <c r="Q195" i="41"/>
  <c r="U118" i="38"/>
  <c r="T130" i="38"/>
  <c r="T118" i="38"/>
  <c r="O192" i="41"/>
  <c r="O195" i="41"/>
  <c r="O197" i="41"/>
  <c r="O193" i="41"/>
  <c r="O183" i="41"/>
  <c r="O191" i="41"/>
  <c r="O190" i="41"/>
  <c r="O189" i="41"/>
  <c r="O194" i="41"/>
  <c r="O205" i="41"/>
  <c r="K189" i="41"/>
  <c r="K197" i="41"/>
  <c r="K183" i="41"/>
  <c r="K191" i="41"/>
  <c r="K192" i="41"/>
  <c r="K194" i="41"/>
  <c r="K195" i="41"/>
  <c r="K205" i="41"/>
  <c r="K193" i="41"/>
  <c r="K190" i="41"/>
  <c r="I130" i="38"/>
  <c r="I118" i="38"/>
  <c r="W130" i="38"/>
  <c r="W118" i="38"/>
  <c r="L189" i="41"/>
  <c r="L193" i="41"/>
  <c r="L190" i="41"/>
  <c r="L192" i="41"/>
  <c r="L197" i="41"/>
  <c r="L195" i="41"/>
  <c r="L183" i="41"/>
  <c r="L191" i="41"/>
  <c r="L205" i="41"/>
  <c r="L194" i="41"/>
  <c r="J189" i="41"/>
  <c r="J191" i="41"/>
  <c r="J197" i="41"/>
  <c r="J195" i="41"/>
  <c r="J183" i="41"/>
  <c r="J190" i="41"/>
  <c r="J192" i="41"/>
  <c r="J194" i="41"/>
  <c r="J193" i="41"/>
  <c r="J205" i="41"/>
  <c r="S130" i="38"/>
  <c r="S118" i="38"/>
  <c r="D329" i="40"/>
  <c r="V130" i="38"/>
  <c r="V118" i="38"/>
  <c r="X159" i="41"/>
  <c r="G130" i="38"/>
  <c r="G118" i="38"/>
  <c r="F130" i="38"/>
  <c r="F118" i="38"/>
  <c r="N118" i="38"/>
  <c r="N130" i="38"/>
  <c r="O130" i="38"/>
  <c r="O118" i="38"/>
  <c r="U193" i="41"/>
  <c r="U12" i="40"/>
  <c r="U17" i="40" s="1"/>
  <c r="Q56" i="41"/>
  <c r="Q61" i="41" s="1"/>
  <c r="Q62" i="41" s="1"/>
  <c r="Z363" i="41"/>
  <c r="Z376" i="41" s="1"/>
  <c r="X228" i="41"/>
  <c r="Y394" i="40"/>
  <c r="Y366" i="40" s="1"/>
  <c r="Y385" i="40"/>
  <c r="Y375" i="40"/>
  <c r="Y374" i="40"/>
  <c r="Y397" i="40"/>
  <c r="Y391" i="40"/>
  <c r="Y431" i="40" s="1"/>
  <c r="Y390" i="40"/>
  <c r="X363" i="40"/>
  <c r="X376" i="40" s="1"/>
  <c r="Z397" i="40"/>
  <c r="Z391" i="40"/>
  <c r="Z431" i="40" s="1"/>
  <c r="Z394" i="40"/>
  <c r="Z366" i="40" s="1"/>
  <c r="Z374" i="40"/>
  <c r="Z375" i="40"/>
  <c r="Z390" i="40"/>
  <c r="Z385" i="40"/>
  <c r="U194" i="41"/>
  <c r="Y42" i="38"/>
  <c r="Y43" i="38" s="1"/>
  <c r="Y33" i="38"/>
  <c r="Y45" i="38"/>
  <c r="U190" i="41"/>
  <c r="Z45" i="38"/>
  <c r="Z42" i="38"/>
  <c r="Z43" i="38" s="1"/>
  <c r="Z33" i="38"/>
  <c r="U189" i="41"/>
  <c r="S43" i="41"/>
  <c r="U197" i="41"/>
  <c r="U195" i="41"/>
  <c r="G12" i="40"/>
  <c r="G17" i="40" s="1"/>
  <c r="Y363" i="41"/>
  <c r="Y376" i="41" s="1"/>
  <c r="U191" i="41"/>
  <c r="W325" i="41"/>
  <c r="W326" i="41" s="1"/>
  <c r="X414" i="40"/>
  <c r="X415" i="40"/>
  <c r="X434" i="40"/>
  <c r="X406" i="40" s="1"/>
  <c r="X430" i="40"/>
  <c r="X403" i="40" s="1"/>
  <c r="X416" i="40" s="1"/>
  <c r="X425" i="40"/>
  <c r="Z237" i="41"/>
  <c r="Z247" i="41"/>
  <c r="Z277" i="38"/>
  <c r="Z308" i="38" s="1"/>
  <c r="Z324" i="38"/>
  <c r="Z271" i="38"/>
  <c r="W273" i="41"/>
  <c r="W433" i="41" s="1"/>
  <c r="X271" i="41"/>
  <c r="X324" i="41"/>
  <c r="Z271" i="40"/>
  <c r="Z324" i="40"/>
  <c r="Z226" i="40"/>
  <c r="Z228" i="40" s="1"/>
  <c r="Z392" i="38"/>
  <c r="Z377" i="38"/>
  <c r="Z432" i="38"/>
  <c r="Z417" i="38"/>
  <c r="X432" i="41"/>
  <c r="X417" i="41"/>
  <c r="Z277" i="40"/>
  <c r="Z308" i="40" s="1"/>
  <c r="Y3" i="38"/>
  <c r="Y8" i="38"/>
  <c r="Y6" i="38"/>
  <c r="Z7" i="38"/>
  <c r="Y2" i="38"/>
  <c r="Z228" i="38"/>
  <c r="X377" i="41"/>
  <c r="X392" i="41"/>
  <c r="X171" i="38"/>
  <c r="X173" i="38" s="1"/>
  <c r="X239" i="38"/>
  <c r="X58" i="38"/>
  <c r="X79" i="38"/>
  <c r="X82" i="38" s="1"/>
  <c r="X83" i="38" s="1"/>
  <c r="X175" i="38"/>
  <c r="X100" i="38"/>
  <c r="X103" i="38" s="1"/>
  <c r="X104" i="38" s="1"/>
  <c r="Z159" i="38"/>
  <c r="Y275" i="41"/>
  <c r="Y350" i="41"/>
  <c r="Y162" i="41"/>
  <c r="Y365" i="41"/>
  <c r="Y405" i="41"/>
  <c r="Y418" i="41" s="1"/>
  <c r="Y230" i="41"/>
  <c r="Y404" i="41"/>
  <c r="Z140" i="41"/>
  <c r="Y364" i="41"/>
  <c r="Y156" i="41"/>
  <c r="Y155" i="41"/>
  <c r="Y225" i="41"/>
  <c r="Y257" i="41"/>
  <c r="Y265" i="41" s="1"/>
  <c r="Y270" i="41"/>
  <c r="Y212" i="41"/>
  <c r="Y220" i="41" s="1"/>
  <c r="Y272" i="41"/>
  <c r="Y142" i="41"/>
  <c r="Y150" i="41" s="1"/>
  <c r="Y158" i="41"/>
  <c r="Y227" i="41"/>
  <c r="Z157" i="40"/>
  <c r="Z159" i="40" s="1"/>
  <c r="W176" i="38"/>
  <c r="W177" i="38" s="1"/>
  <c r="W186" i="38" s="1"/>
  <c r="Z432" i="40"/>
  <c r="Z417" i="40"/>
  <c r="Y325" i="40"/>
  <c r="Y326" i="40" s="1"/>
  <c r="Y273" i="40"/>
  <c r="Y433" i="40" s="1"/>
  <c r="Z378" i="38"/>
  <c r="Z393" i="38"/>
  <c r="X277" i="41"/>
  <c r="X308" i="41" s="1"/>
  <c r="Y273" i="38"/>
  <c r="Y433" i="38" s="1"/>
  <c r="Y325" i="38"/>
  <c r="Y326" i="38" s="1"/>
  <c r="Y76" i="41"/>
  <c r="Z378" i="40"/>
  <c r="Z393" i="40"/>
  <c r="Z377" i="40"/>
  <c r="Z392" i="40"/>
  <c r="X378" i="41"/>
  <c r="X393" i="41"/>
  <c r="Z75" i="41"/>
  <c r="G14" i="47"/>
  <c r="G15" i="47" s="1"/>
  <c r="G7" i="47" s="1"/>
  <c r="H14" i="47"/>
  <c r="H15" i="47" s="1"/>
  <c r="H7" i="47" s="1"/>
  <c r="J14" i="47"/>
  <c r="J15" i="47" s="1"/>
  <c r="J7" i="47" s="1"/>
  <c r="I14" i="47"/>
  <c r="I15" i="47" s="1"/>
  <c r="I7" i="47" s="1"/>
  <c r="S17" i="40"/>
  <c r="S18" i="40" s="1"/>
  <c r="S11" i="40"/>
  <c r="I12" i="40"/>
  <c r="L187" i="38"/>
  <c r="L180" i="38"/>
  <c r="M130" i="41"/>
  <c r="M118" i="41"/>
  <c r="S187" i="38"/>
  <c r="S180" i="38"/>
  <c r="H118" i="41"/>
  <c r="H130" i="41"/>
  <c r="I187" i="38"/>
  <c r="I180" i="38"/>
  <c r="J130" i="41"/>
  <c r="J118" i="41"/>
  <c r="M11" i="40"/>
  <c r="M17" i="40"/>
  <c r="M18" i="40" s="1"/>
  <c r="U118" i="41"/>
  <c r="U130" i="41"/>
  <c r="O12" i="40"/>
  <c r="F12" i="40"/>
  <c r="J12" i="40"/>
  <c r="T12" i="40"/>
  <c r="N118" i="41"/>
  <c r="N130" i="41"/>
  <c r="Y414" i="41"/>
  <c r="Y425" i="41"/>
  <c r="Y430" i="41"/>
  <c r="Y403" i="41" s="1"/>
  <c r="Y416" i="41" s="1"/>
  <c r="Y415" i="41"/>
  <c r="Y434" i="41"/>
  <c r="Y406" i="41" s="1"/>
  <c r="N187" i="38"/>
  <c r="N180" i="38"/>
  <c r="Z77" i="38"/>
  <c r="Z87" i="38"/>
  <c r="Q187" i="38"/>
  <c r="Q180" i="38"/>
  <c r="Q43" i="40"/>
  <c r="P12" i="40"/>
  <c r="J187" i="38"/>
  <c r="J180" i="38"/>
  <c r="K130" i="41"/>
  <c r="K118" i="41"/>
  <c r="R56" i="41"/>
  <c r="R61" i="41" s="1"/>
  <c r="R62" i="41" s="1"/>
  <c r="U56" i="41"/>
  <c r="U61" i="41" s="1"/>
  <c r="U62" i="41" s="1"/>
  <c r="T56" i="41"/>
  <c r="T61" i="41" s="1"/>
  <c r="T62" i="41" s="1"/>
  <c r="V56" i="41"/>
  <c r="V61" i="41" s="1"/>
  <c r="V62" i="41" s="1"/>
  <c r="N127" i="41"/>
  <c r="N128" i="41" s="1"/>
  <c r="Y54" i="38"/>
  <c r="Z53" i="38"/>
  <c r="Z54" i="38" s="1"/>
  <c r="P187" i="38"/>
  <c r="P180" i="38"/>
  <c r="Q12" i="40"/>
  <c r="F56" i="41"/>
  <c r="F61" i="41" s="1"/>
  <c r="F62" i="41" s="1"/>
  <c r="G56" i="41"/>
  <c r="G61" i="41" s="1"/>
  <c r="G62" i="41" s="1"/>
  <c r="H56" i="41"/>
  <c r="H61" i="41" s="1"/>
  <c r="H62" i="41" s="1"/>
  <c r="J56" i="41"/>
  <c r="J61" i="41" s="1"/>
  <c r="J62" i="41" s="1"/>
  <c r="I56" i="41"/>
  <c r="I61" i="41" s="1"/>
  <c r="I62" i="41" s="1"/>
  <c r="N56" i="41"/>
  <c r="N61" i="41" s="1"/>
  <c r="N62" i="41" s="1"/>
  <c r="K56" i="41"/>
  <c r="K61" i="41" s="1"/>
  <c r="K62" i="41" s="1"/>
  <c r="L56" i="41"/>
  <c r="L61" i="41" s="1"/>
  <c r="L62" i="41" s="1"/>
  <c r="P56" i="41"/>
  <c r="P61" i="41" s="1"/>
  <c r="P62" i="41" s="1"/>
  <c r="O56" i="41"/>
  <c r="O61" i="41" s="1"/>
  <c r="O62" i="41" s="1"/>
  <c r="M56" i="41"/>
  <c r="M61" i="41" s="1"/>
  <c r="M62" i="41" s="1"/>
  <c r="Z239" i="40"/>
  <c r="Z79" i="40"/>
  <c r="Z100" i="40"/>
  <c r="Z58" i="40"/>
  <c r="Z171" i="40"/>
  <c r="Z173" i="40" s="1"/>
  <c r="Z175" i="40"/>
  <c r="M187" i="38"/>
  <c r="M180" i="38"/>
  <c r="G118" i="41"/>
  <c r="G130" i="41"/>
  <c r="Z168" i="38"/>
  <c r="Z169" i="38" s="1"/>
  <c r="Y169" i="38"/>
  <c r="W363" i="38"/>
  <c r="W376" i="38" s="1"/>
  <c r="H12" i="40"/>
  <c r="W247" i="38"/>
  <c r="X236" i="38"/>
  <c r="X55" i="38"/>
  <c r="W66" i="38"/>
  <c r="G187" i="38"/>
  <c r="G180" i="38"/>
  <c r="G127" i="41"/>
  <c r="G128" i="41" s="1"/>
  <c r="C43" i="35"/>
  <c r="B44" i="35"/>
  <c r="X179" i="38"/>
  <c r="X187" i="38" s="1"/>
  <c r="X182" i="38"/>
  <c r="X199" i="38" s="1"/>
  <c r="Y235" i="38"/>
  <c r="Z234" i="38"/>
  <c r="Z235" i="38" s="1"/>
  <c r="S118" i="41"/>
  <c r="S130" i="41"/>
  <c r="L17" i="40"/>
  <c r="L18" i="40" s="1"/>
  <c r="L118" i="41"/>
  <c r="L130" i="41"/>
  <c r="T187" i="38"/>
  <c r="T180" i="38"/>
  <c r="K12" i="40"/>
  <c r="R12" i="40"/>
  <c r="K187" i="38"/>
  <c r="K180" i="38"/>
  <c r="L127" i="41"/>
  <c r="L128" i="41" s="1"/>
  <c r="U187" i="38"/>
  <c r="U180" i="38"/>
  <c r="Z425" i="41"/>
  <c r="Z430" i="41"/>
  <c r="Z403" i="41" s="1"/>
  <c r="Z416" i="41" s="1"/>
  <c r="Z415" i="41"/>
  <c r="Z414" i="41"/>
  <c r="Z434" i="41"/>
  <c r="Z406" i="41" s="1"/>
  <c r="O187" i="38"/>
  <c r="O180" i="38"/>
  <c r="V205" i="38"/>
  <c r="V195" i="38"/>
  <c r="V190" i="38"/>
  <c r="V189" i="38"/>
  <c r="V191" i="38"/>
  <c r="V194" i="38"/>
  <c r="V183" i="38"/>
  <c r="V197" i="38"/>
  <c r="V193" i="38"/>
  <c r="V192" i="38"/>
  <c r="F127" i="41"/>
  <c r="F128" i="41" s="1"/>
  <c r="I130" i="41"/>
  <c r="I118" i="41"/>
  <c r="S56" i="41"/>
  <c r="S61" i="41" s="1"/>
  <c r="S62" i="41" s="1"/>
  <c r="V118" i="41"/>
  <c r="N12" i="40"/>
  <c r="A8" i="40"/>
  <c r="AH32" i="35"/>
  <c r="AG33" i="35"/>
  <c r="H127" i="41"/>
  <c r="H128" i="41" s="1"/>
  <c r="R187" i="38"/>
  <c r="R180" i="38"/>
  <c r="F180" i="38"/>
  <c r="F187" i="38"/>
  <c r="Z336" i="38"/>
  <c r="F130" i="41"/>
  <c r="F118" i="41"/>
  <c r="H187" i="38"/>
  <c r="H180" i="38"/>
  <c r="J127" i="41"/>
  <c r="J128" i="41" s="1"/>
  <c r="X176" i="41"/>
  <c r="X177" i="41" s="1"/>
  <c r="X186" i="41" s="1"/>
  <c r="U192" i="40"/>
  <c r="U205" i="40"/>
  <c r="U183" i="40"/>
  <c r="U194" i="40"/>
  <c r="U195" i="40"/>
  <c r="U197" i="40"/>
  <c r="U190" i="40"/>
  <c r="U191" i="40"/>
  <c r="U193" i="40"/>
  <c r="U189" i="40"/>
  <c r="W32" i="41"/>
  <c r="V35" i="41"/>
  <c r="X4" i="47"/>
  <c r="Y3" i="47"/>
  <c r="X5" i="47"/>
  <c r="X6" i="47"/>
  <c r="X18" i="47"/>
  <c r="X19" i="47" s="1"/>
  <c r="X8" i="47" s="1"/>
  <c r="V180" i="41"/>
  <c r="X108" i="41"/>
  <c r="Y97" i="41"/>
  <c r="X98" i="41"/>
  <c r="X103" i="41" s="1"/>
  <c r="Y168" i="40"/>
  <c r="X169" i="40"/>
  <c r="X177" i="40"/>
  <c r="W120" i="40"/>
  <c r="V121" i="40"/>
  <c r="W104" i="41"/>
  <c r="U119" i="40"/>
  <c r="U126" i="40"/>
  <c r="X66" i="40"/>
  <c r="Y55" i="40"/>
  <c r="X56" i="40"/>
  <c r="X61" i="40" s="1"/>
  <c r="U40" i="41"/>
  <c r="U34" i="41"/>
  <c r="W9" i="38"/>
  <c r="Y168" i="41"/>
  <c r="X169" i="41"/>
  <c r="R33" i="40"/>
  <c r="R45" i="40"/>
  <c r="R42" i="40"/>
  <c r="W9" i="40"/>
  <c r="V12" i="40"/>
  <c r="Y9" i="41"/>
  <c r="W414" i="38"/>
  <c r="W430" i="38"/>
  <c r="W403" i="38" s="1"/>
  <c r="W416" i="38" s="1"/>
  <c r="W434" i="38"/>
  <c r="W406" i="38" s="1"/>
  <c r="W415" i="38"/>
  <c r="W425" i="38"/>
  <c r="W62" i="40"/>
  <c r="X119" i="41"/>
  <c r="X126" i="41"/>
  <c r="T130" i="40"/>
  <c r="T118" i="40"/>
  <c r="W182" i="41"/>
  <c r="W199" i="41" s="1"/>
  <c r="W179" i="41"/>
  <c r="W187" i="41" s="1"/>
  <c r="S34" i="40"/>
  <c r="S40" i="40"/>
  <c r="R41" i="40"/>
  <c r="Z2" i="41"/>
  <c r="Z3" i="41"/>
  <c r="Z6" i="41"/>
  <c r="Z8" i="41"/>
  <c r="W12" i="41" s="1"/>
  <c r="AB28" i="35"/>
  <c r="T29" i="35"/>
  <c r="V180" i="40"/>
  <c r="AI28" i="35"/>
  <c r="AQ27" i="35"/>
  <c r="Y2" i="42"/>
  <c r="X47" i="42"/>
  <c r="X1" i="42"/>
  <c r="S31" i="35"/>
  <c r="R32" i="35"/>
  <c r="U32" i="40"/>
  <c r="T35" i="40"/>
  <c r="W83" i="40"/>
  <c r="Z120" i="41"/>
  <c r="Z121" i="41" s="1"/>
  <c r="Y121" i="41"/>
  <c r="T127" i="40"/>
  <c r="T128" i="40" s="1"/>
  <c r="Z338" i="38"/>
  <c r="Z357" i="38" s="1"/>
  <c r="Y357" i="38"/>
  <c r="Z371" i="41"/>
  <c r="Z379" i="41"/>
  <c r="W186" i="41"/>
  <c r="Y130" i="38"/>
  <c r="Y118" i="38"/>
  <c r="X243" i="41"/>
  <c r="E36" i="35"/>
  <c r="D35" i="35"/>
  <c r="L35" i="35" s="1"/>
  <c r="W182" i="40"/>
  <c r="W199" i="40" s="1"/>
  <c r="W179" i="40"/>
  <c r="W187" i="40" s="1"/>
  <c r="Z130" i="38"/>
  <c r="Z118" i="38"/>
  <c r="X374" i="38"/>
  <c r="X397" i="38"/>
  <c r="X375" i="38"/>
  <c r="X385" i="38"/>
  <c r="X394" i="38"/>
  <c r="X366" i="38" s="1"/>
  <c r="X391" i="38"/>
  <c r="X431" i="38" s="1"/>
  <c r="X390" i="38"/>
  <c r="W118" i="41"/>
  <c r="W130" i="41"/>
  <c r="W243" i="40"/>
  <c r="W104" i="40"/>
  <c r="Y127" i="38"/>
  <c r="Y128" i="38" s="1"/>
  <c r="Z98" i="38"/>
  <c r="Z108" i="38"/>
  <c r="X66" i="41"/>
  <c r="X56" i="41"/>
  <c r="X61" i="41" s="1"/>
  <c r="Y55" i="41"/>
  <c r="T33" i="41"/>
  <c r="T45" i="41"/>
  <c r="T42" i="41"/>
  <c r="T41" i="41"/>
  <c r="W127" i="41"/>
  <c r="W128" i="41" s="1"/>
  <c r="Z411" i="41"/>
  <c r="Z419" i="41"/>
  <c r="W62" i="41"/>
  <c r="X237" i="40"/>
  <c r="X242" i="40" s="1"/>
  <c r="Y236" i="40"/>
  <c r="X247" i="40"/>
  <c r="W186" i="40"/>
  <c r="Y58" i="41"/>
  <c r="Y239" i="41"/>
  <c r="Y242" i="41" s="1"/>
  <c r="Y175" i="41"/>
  <c r="Y100" i="41"/>
  <c r="Y79" i="41"/>
  <c r="Y171" i="41"/>
  <c r="Y173" i="41" s="1"/>
  <c r="X87" i="40"/>
  <c r="Y76" i="40"/>
  <c r="X77" i="40"/>
  <c r="X82" i="40" s="1"/>
  <c r="X108" i="40"/>
  <c r="Y97" i="40"/>
  <c r="X98" i="40"/>
  <c r="X103" i="40" s="1"/>
  <c r="Z127" i="38"/>
  <c r="Z128" i="38" s="1"/>
  <c r="W180" i="40" l="1"/>
  <c r="Z336" i="41"/>
  <c r="D329" i="41"/>
  <c r="F50" i="42"/>
  <c r="H50" i="42"/>
  <c r="I50" i="42"/>
  <c r="G50" i="42"/>
  <c r="U56" i="38"/>
  <c r="U61" i="38" s="1"/>
  <c r="U62" i="38" s="1"/>
  <c r="Z323" i="38"/>
  <c r="Z328" i="38"/>
  <c r="Z317" i="38"/>
  <c r="W56" i="38"/>
  <c r="W61" i="38" s="1"/>
  <c r="W62" i="38" s="1"/>
  <c r="W180" i="41"/>
  <c r="T43" i="41"/>
  <c r="R43" i="40"/>
  <c r="G11" i="40"/>
  <c r="G19" i="40" s="1"/>
  <c r="U11" i="40"/>
  <c r="U22" i="40" s="1"/>
  <c r="W180" i="38"/>
  <c r="W195" i="38" s="1"/>
  <c r="O56" i="38"/>
  <c r="O61" i="38" s="1"/>
  <c r="O62" i="38" s="1"/>
  <c r="K56" i="38"/>
  <c r="K61" i="38" s="1"/>
  <c r="K62" i="38" s="1"/>
  <c r="S237" i="38"/>
  <c r="S242" i="38" s="1"/>
  <c r="S243" i="38" s="1"/>
  <c r="U237" i="38"/>
  <c r="U242" i="38" s="1"/>
  <c r="U243" i="38" s="1"/>
  <c r="Z176" i="40"/>
  <c r="Z414" i="40"/>
  <c r="Z430" i="40"/>
  <c r="Z403" i="40" s="1"/>
  <c r="Z416" i="40" s="1"/>
  <c r="Z425" i="40"/>
  <c r="Z434" i="40"/>
  <c r="Z406" i="40" s="1"/>
  <c r="Z415" i="40"/>
  <c r="X176" i="38"/>
  <c r="X177" i="38" s="1"/>
  <c r="Y363" i="40"/>
  <c r="Y376" i="40" s="1"/>
  <c r="Z363" i="40"/>
  <c r="Z376" i="40" s="1"/>
  <c r="Y425" i="40"/>
  <c r="Y415" i="40"/>
  <c r="Y414" i="40"/>
  <c r="Y430" i="40"/>
  <c r="Y403" i="40" s="1"/>
  <c r="Y416" i="40" s="1"/>
  <c r="Y434" i="40"/>
  <c r="Y406" i="40" s="1"/>
  <c r="U77" i="41"/>
  <c r="U82" i="41" s="1"/>
  <c r="U83" i="41" s="1"/>
  <c r="M77" i="41"/>
  <c r="M82" i="41" s="1"/>
  <c r="J77" i="41"/>
  <c r="J82" i="41" s="1"/>
  <c r="Q77" i="41"/>
  <c r="Q82" i="41" s="1"/>
  <c r="F77" i="41"/>
  <c r="F82" i="41" s="1"/>
  <c r="O77" i="41"/>
  <c r="O82" i="41" s="1"/>
  <c r="H77" i="41"/>
  <c r="H82" i="41" s="1"/>
  <c r="N77" i="41"/>
  <c r="N82" i="41" s="1"/>
  <c r="I77" i="41"/>
  <c r="I82" i="41" s="1"/>
  <c r="T77" i="41"/>
  <c r="T82" i="41" s="1"/>
  <c r="T83" i="41" s="1"/>
  <c r="G77" i="41"/>
  <c r="G82" i="41" s="1"/>
  <c r="P77" i="41"/>
  <c r="P82" i="41" s="1"/>
  <c r="K77" i="41"/>
  <c r="K82" i="41" s="1"/>
  <c r="S77" i="41"/>
  <c r="S82" i="41" s="1"/>
  <c r="L77" i="41"/>
  <c r="L82" i="41" s="1"/>
  <c r="R77" i="41"/>
  <c r="R82" i="41" s="1"/>
  <c r="Z3" i="38"/>
  <c r="Z8" i="38"/>
  <c r="S12" i="38" s="1"/>
  <c r="Z6" i="38"/>
  <c r="K37" i="28" s="1"/>
  <c r="Z2" i="38"/>
  <c r="X77" i="41"/>
  <c r="X82" i="41" s="1"/>
  <c r="X83" i="41" s="1"/>
  <c r="Y226" i="41"/>
  <c r="Y228" i="41" s="1"/>
  <c r="Y378" i="41"/>
  <c r="Y393" i="41"/>
  <c r="X273" i="41"/>
  <c r="X433" i="41" s="1"/>
  <c r="X325" i="41"/>
  <c r="X326" i="41" s="1"/>
  <c r="Z76" i="41"/>
  <c r="Y77" i="41"/>
  <c r="Y82" i="41" s="1"/>
  <c r="Y83" i="41" s="1"/>
  <c r="Y87" i="41"/>
  <c r="Y157" i="41"/>
  <c r="Y159" i="41" s="1"/>
  <c r="W77" i="41"/>
  <c r="W82" i="41" s="1"/>
  <c r="W83" i="41" s="1"/>
  <c r="Z273" i="38"/>
  <c r="Z433" i="38" s="1"/>
  <c r="Z325" i="38"/>
  <c r="Z326" i="38" s="1"/>
  <c r="V77" i="41"/>
  <c r="V82" i="41" s="1"/>
  <c r="V83" i="41" s="1"/>
  <c r="Y377" i="41"/>
  <c r="Y392" i="41"/>
  <c r="Y277" i="41"/>
  <c r="Y308" i="41" s="1"/>
  <c r="Z275" i="41"/>
  <c r="Z212" i="41"/>
  <c r="Z220" i="41" s="1"/>
  <c r="Z158" i="41"/>
  <c r="Z365" i="41"/>
  <c r="Z270" i="41"/>
  <c r="Z350" i="41"/>
  <c r="Z404" i="41"/>
  <c r="Z405" i="41"/>
  <c r="Z418" i="41" s="1"/>
  <c r="Z227" i="41"/>
  <c r="Z225" i="41"/>
  <c r="Z226" i="41" s="1"/>
  <c r="Z230" i="41"/>
  <c r="Z272" i="41"/>
  <c r="Z142" i="41"/>
  <c r="Z150" i="41" s="1"/>
  <c r="Z257" i="41"/>
  <c r="Z265" i="41" s="1"/>
  <c r="Z364" i="41"/>
  <c r="Z155" i="41"/>
  <c r="Z156" i="41"/>
  <c r="Z162" i="41"/>
  <c r="Q237" i="38"/>
  <c r="Q242" i="38" s="1"/>
  <c r="Q243" i="38" s="1"/>
  <c r="Y432" i="41"/>
  <c r="Y417" i="41"/>
  <c r="Y271" i="41"/>
  <c r="Y325" i="41" s="1"/>
  <c r="Y324" i="41"/>
  <c r="Y171" i="38"/>
  <c r="Y173" i="38" s="1"/>
  <c r="Y175" i="38"/>
  <c r="Y79" i="38"/>
  <c r="Y82" i="38" s="1"/>
  <c r="Y83" i="38" s="1"/>
  <c r="Y100" i="38"/>
  <c r="Y103" i="38" s="1"/>
  <c r="Y104" i="38" s="1"/>
  <c r="Y58" i="38"/>
  <c r="Y239" i="38"/>
  <c r="Z273" i="40"/>
  <c r="Z433" i="40" s="1"/>
  <c r="Z325" i="40"/>
  <c r="Z326" i="40" s="1"/>
  <c r="S56" i="38"/>
  <c r="S61" i="38" s="1"/>
  <c r="S62" i="38" s="1"/>
  <c r="F56" i="38"/>
  <c r="F61" i="38" s="1"/>
  <c r="F62" i="38" s="1"/>
  <c r="G56" i="38"/>
  <c r="G61" i="38" s="1"/>
  <c r="G62" i="38" s="1"/>
  <c r="R56" i="38"/>
  <c r="R61" i="38" s="1"/>
  <c r="R62" i="38" s="1"/>
  <c r="P11" i="40"/>
  <c r="P17" i="40"/>
  <c r="J17" i="40"/>
  <c r="J18" i="40" s="1"/>
  <c r="J11" i="40"/>
  <c r="L191" i="38"/>
  <c r="L192" i="38"/>
  <c r="L193" i="38"/>
  <c r="L205" i="38"/>
  <c r="L194" i="38"/>
  <c r="L195" i="38"/>
  <c r="L183" i="38"/>
  <c r="L197" i="38"/>
  <c r="L189" i="38"/>
  <c r="L190" i="38"/>
  <c r="K193" i="38"/>
  <c r="K190" i="38"/>
  <c r="K183" i="38"/>
  <c r="K205" i="38"/>
  <c r="K197" i="38"/>
  <c r="K192" i="38"/>
  <c r="K194" i="38"/>
  <c r="K189" i="38"/>
  <c r="K195" i="38"/>
  <c r="K191" i="38"/>
  <c r="L22" i="40"/>
  <c r="L19" i="40"/>
  <c r="L20" i="40" s="1"/>
  <c r="H11" i="40"/>
  <c r="H17" i="40"/>
  <c r="H18" i="40" s="1"/>
  <c r="V56" i="38"/>
  <c r="V61" i="38" s="1"/>
  <c r="V62" i="38" s="1"/>
  <c r="Q56" i="38"/>
  <c r="Q61" i="38" s="1"/>
  <c r="Q62" i="38" s="1"/>
  <c r="H56" i="38"/>
  <c r="H61" i="38" s="1"/>
  <c r="H62" i="38" s="1"/>
  <c r="T56" i="38"/>
  <c r="T61" i="38" s="1"/>
  <c r="T62" i="38" s="1"/>
  <c r="F11" i="40"/>
  <c r="F17" i="40"/>
  <c r="N56" i="38"/>
  <c r="N61" i="38" s="1"/>
  <c r="N62" i="38" s="1"/>
  <c r="I56" i="38"/>
  <c r="I61" i="38" s="1"/>
  <c r="I62" i="38" s="1"/>
  <c r="P56" i="38"/>
  <c r="P61" i="38" s="1"/>
  <c r="P62" i="38" s="1"/>
  <c r="J195" i="38"/>
  <c r="J192" i="38"/>
  <c r="J190" i="38"/>
  <c r="J183" i="38"/>
  <c r="J189" i="38"/>
  <c r="J191" i="38"/>
  <c r="J197" i="38"/>
  <c r="J194" i="38"/>
  <c r="J193" i="38"/>
  <c r="J205" i="38"/>
  <c r="Q205" i="38"/>
  <c r="Q192" i="38"/>
  <c r="Q191" i="38"/>
  <c r="Q193" i="38"/>
  <c r="Q195" i="38"/>
  <c r="Q190" i="38"/>
  <c r="Q189" i="38"/>
  <c r="Q197" i="38"/>
  <c r="Q183" i="38"/>
  <c r="Q194" i="38"/>
  <c r="O11" i="40"/>
  <c r="O17" i="40"/>
  <c r="M19" i="40"/>
  <c r="M20" i="40" s="1"/>
  <c r="M22" i="40"/>
  <c r="M10" i="40"/>
  <c r="C44" i="35"/>
  <c r="B45" i="35"/>
  <c r="X66" i="38"/>
  <c r="Y55" i="38"/>
  <c r="X56" i="38"/>
  <c r="X61" i="38" s="1"/>
  <c r="X62" i="38" s="1"/>
  <c r="M56" i="38"/>
  <c r="M61" i="38" s="1"/>
  <c r="M62" i="38" s="1"/>
  <c r="L56" i="38"/>
  <c r="L61" i="38" s="1"/>
  <c r="L62" i="38" s="1"/>
  <c r="G18" i="40"/>
  <c r="S193" i="38"/>
  <c r="S191" i="38"/>
  <c r="S189" i="38"/>
  <c r="S195" i="38"/>
  <c r="S183" i="38"/>
  <c r="S205" i="38"/>
  <c r="S192" i="38"/>
  <c r="S194" i="38"/>
  <c r="S190" i="38"/>
  <c r="S197" i="38"/>
  <c r="I11" i="40"/>
  <c r="I17" i="40"/>
  <c r="I18" i="40" s="1"/>
  <c r="W189" i="38"/>
  <c r="W192" i="38"/>
  <c r="W190" i="38"/>
  <c r="W194" i="38"/>
  <c r="W191" i="38"/>
  <c r="W205" i="38"/>
  <c r="W197" i="38"/>
  <c r="W183" i="38"/>
  <c r="W193" i="38"/>
  <c r="N17" i="40"/>
  <c r="N11" i="40"/>
  <c r="U192" i="38"/>
  <c r="U194" i="38"/>
  <c r="U191" i="38"/>
  <c r="U205" i="38"/>
  <c r="U189" i="38"/>
  <c r="U195" i="38"/>
  <c r="U193" i="38"/>
  <c r="U190" i="38"/>
  <c r="U183" i="38"/>
  <c r="U197" i="38"/>
  <c r="R17" i="40"/>
  <c r="R18" i="40" s="1"/>
  <c r="R11" i="40"/>
  <c r="S10" i="40" s="1"/>
  <c r="Q11" i="40"/>
  <c r="Q17" i="40"/>
  <c r="S19" i="40"/>
  <c r="S20" i="40" s="1"/>
  <c r="S22" i="40"/>
  <c r="F190" i="38"/>
  <c r="F191" i="38"/>
  <c r="F194" i="38"/>
  <c r="F192" i="38"/>
  <c r="F195" i="38"/>
  <c r="F197" i="38"/>
  <c r="F183" i="38"/>
  <c r="F205" i="38"/>
  <c r="F189" i="38"/>
  <c r="F193" i="38"/>
  <c r="AH33" i="35"/>
  <c r="AG34" i="35"/>
  <c r="K17" i="40"/>
  <c r="K18" i="40" s="1"/>
  <c r="K11" i="40"/>
  <c r="F237" i="38"/>
  <c r="F242" i="38" s="1"/>
  <c r="F243" i="38" s="1"/>
  <c r="I237" i="38"/>
  <c r="I242" i="38" s="1"/>
  <c r="I243" i="38" s="1"/>
  <c r="G237" i="38"/>
  <c r="G242" i="38" s="1"/>
  <c r="G243" i="38" s="1"/>
  <c r="H237" i="38"/>
  <c r="H242" i="38" s="1"/>
  <c r="H243" i="38" s="1"/>
  <c r="J237" i="38"/>
  <c r="J242" i="38" s="1"/>
  <c r="J243" i="38" s="1"/>
  <c r="L237" i="38"/>
  <c r="L242" i="38" s="1"/>
  <c r="L243" i="38" s="1"/>
  <c r="K237" i="38"/>
  <c r="K242" i="38" s="1"/>
  <c r="K243" i="38" s="1"/>
  <c r="M237" i="38"/>
  <c r="M242" i="38" s="1"/>
  <c r="M243" i="38" s="1"/>
  <c r="N237" i="38"/>
  <c r="N242" i="38" s="1"/>
  <c r="N243" i="38" s="1"/>
  <c r="O237" i="38"/>
  <c r="O242" i="38" s="1"/>
  <c r="O243" i="38" s="1"/>
  <c r="P237" i="38"/>
  <c r="P242" i="38" s="1"/>
  <c r="P243" i="38" s="1"/>
  <c r="R237" i="38"/>
  <c r="R242" i="38" s="1"/>
  <c r="R243" i="38" s="1"/>
  <c r="X247" i="38"/>
  <c r="X237" i="38"/>
  <c r="X242" i="38" s="1"/>
  <c r="X243" i="38" s="1"/>
  <c r="Y236" i="38"/>
  <c r="Y182" i="38"/>
  <c r="Y199" i="38" s="1"/>
  <c r="Y179" i="38"/>
  <c r="M205" i="38"/>
  <c r="M189" i="38"/>
  <c r="M183" i="38"/>
  <c r="M191" i="38"/>
  <c r="M190" i="38"/>
  <c r="M193" i="38"/>
  <c r="M197" i="38"/>
  <c r="M195" i="38"/>
  <c r="M194" i="38"/>
  <c r="M192" i="38"/>
  <c r="P193" i="38"/>
  <c r="P183" i="38"/>
  <c r="P189" i="38"/>
  <c r="P197" i="38"/>
  <c r="P192" i="38"/>
  <c r="P195" i="38"/>
  <c r="P190" i="38"/>
  <c r="P191" i="38"/>
  <c r="P194" i="38"/>
  <c r="P205" i="38"/>
  <c r="N191" i="38"/>
  <c r="N205" i="38"/>
  <c r="N193" i="38"/>
  <c r="N190" i="38"/>
  <c r="N189" i="38"/>
  <c r="N195" i="38"/>
  <c r="N192" i="38"/>
  <c r="N183" i="38"/>
  <c r="N194" i="38"/>
  <c r="N197" i="38"/>
  <c r="H183" i="38"/>
  <c r="H192" i="38"/>
  <c r="H197" i="38"/>
  <c r="H194" i="38"/>
  <c r="H189" i="38"/>
  <c r="H190" i="38"/>
  <c r="H191" i="38"/>
  <c r="H195" i="38"/>
  <c r="H193" i="38"/>
  <c r="H205" i="38"/>
  <c r="R192" i="38"/>
  <c r="R197" i="38"/>
  <c r="R205" i="38"/>
  <c r="R193" i="38"/>
  <c r="R191" i="38"/>
  <c r="R189" i="38"/>
  <c r="R190" i="38"/>
  <c r="R194" i="38"/>
  <c r="R183" i="38"/>
  <c r="R195" i="38"/>
  <c r="O190" i="38"/>
  <c r="O192" i="38"/>
  <c r="O197" i="38"/>
  <c r="O195" i="38"/>
  <c r="O194" i="38"/>
  <c r="O183" i="38"/>
  <c r="O205" i="38"/>
  <c r="O189" i="38"/>
  <c r="O193" i="38"/>
  <c r="O191" i="38"/>
  <c r="T193" i="38"/>
  <c r="T205" i="38"/>
  <c r="T189" i="38"/>
  <c r="T197" i="38"/>
  <c r="T190" i="38"/>
  <c r="T194" i="38"/>
  <c r="T192" i="38"/>
  <c r="T191" i="38"/>
  <c r="T183" i="38"/>
  <c r="T195" i="38"/>
  <c r="T237" i="38"/>
  <c r="T242" i="38" s="1"/>
  <c r="T243" i="38" s="1"/>
  <c r="V237" i="38"/>
  <c r="V242" i="38" s="1"/>
  <c r="V243" i="38" s="1"/>
  <c r="G205" i="38"/>
  <c r="G192" i="38"/>
  <c r="G194" i="38"/>
  <c r="G190" i="38"/>
  <c r="G197" i="38"/>
  <c r="G191" i="38"/>
  <c r="G183" i="38"/>
  <c r="G193" i="38"/>
  <c r="G195" i="38"/>
  <c r="G189" i="38"/>
  <c r="W237" i="38"/>
  <c r="W242" i="38" s="1"/>
  <c r="W243" i="38" s="1"/>
  <c r="Z182" i="38"/>
  <c r="Z199" i="38" s="1"/>
  <c r="Z179" i="38"/>
  <c r="Z187" i="38" s="1"/>
  <c r="T17" i="40"/>
  <c r="T18" i="40" s="1"/>
  <c r="T11" i="40"/>
  <c r="I194" i="38"/>
  <c r="I197" i="38"/>
  <c r="I191" i="38"/>
  <c r="I192" i="38"/>
  <c r="I183" i="38"/>
  <c r="I189" i="38"/>
  <c r="I193" i="38"/>
  <c r="I195" i="38"/>
  <c r="I205" i="38"/>
  <c r="I190" i="38"/>
  <c r="J56" i="38"/>
  <c r="J61" i="38" s="1"/>
  <c r="J62" i="38" s="1"/>
  <c r="Y176" i="41"/>
  <c r="Y177" i="41" s="1"/>
  <c r="W205" i="40"/>
  <c r="W193" i="40"/>
  <c r="W192" i="40"/>
  <c r="W183" i="40"/>
  <c r="W197" i="40"/>
  <c r="W191" i="40"/>
  <c r="W194" i="40"/>
  <c r="W189" i="40"/>
  <c r="W190" i="40"/>
  <c r="W195" i="40"/>
  <c r="X243" i="40"/>
  <c r="Y66" i="41"/>
  <c r="Z55" i="41"/>
  <c r="Y56" i="41"/>
  <c r="Y61" i="41" s="1"/>
  <c r="Y391" i="38"/>
  <c r="Y431" i="38" s="1"/>
  <c r="Y374" i="38"/>
  <c r="Y397" i="38"/>
  <c r="Y375" i="38"/>
  <c r="Y390" i="38"/>
  <c r="Y394" i="38"/>
  <c r="Y366" i="38" s="1"/>
  <c r="Y385" i="38"/>
  <c r="AQ28" i="35"/>
  <c r="AI29" i="35"/>
  <c r="S41" i="40"/>
  <c r="F32" i="28"/>
  <c r="U41" i="41"/>
  <c r="H40" i="28"/>
  <c r="Y126" i="41"/>
  <c r="Y119" i="41"/>
  <c r="X182" i="40"/>
  <c r="X199" i="40" s="1"/>
  <c r="X179" i="40"/>
  <c r="X187" i="40" s="1"/>
  <c r="U118" i="40"/>
  <c r="U130" i="40"/>
  <c r="X104" i="40"/>
  <c r="X62" i="41"/>
  <c r="Z394" i="38"/>
  <c r="Z390" i="38"/>
  <c r="Z397" i="38"/>
  <c r="Z374" i="38"/>
  <c r="Z391" i="38"/>
  <c r="Z431" i="38" s="1"/>
  <c r="Z375" i="38"/>
  <c r="Z385" i="38"/>
  <c r="F12" i="41"/>
  <c r="H12" i="41"/>
  <c r="I12" i="41"/>
  <c r="G12" i="41"/>
  <c r="K12" i="41"/>
  <c r="J12" i="41"/>
  <c r="A8" i="41"/>
  <c r="N12" i="41"/>
  <c r="L12" i="41"/>
  <c r="M12" i="41"/>
  <c r="P12" i="41"/>
  <c r="O12" i="41"/>
  <c r="R12" i="41"/>
  <c r="Q12" i="41"/>
  <c r="T12" i="41"/>
  <c r="U12" i="41"/>
  <c r="S12" i="41"/>
  <c r="S33" i="40"/>
  <c r="S45" i="40"/>
  <c r="S42" i="40"/>
  <c r="V126" i="40"/>
  <c r="V119" i="40"/>
  <c r="Y4" i="47"/>
  <c r="Z3" i="47"/>
  <c r="Y5" i="47"/>
  <c r="Y6" i="47"/>
  <c r="Y14" i="47"/>
  <c r="Y15" i="47" s="1"/>
  <c r="Y7" i="47" s="1"/>
  <c r="Y18" i="47"/>
  <c r="Y19" i="47" s="1"/>
  <c r="Y8" i="47" s="1"/>
  <c r="R33" i="35"/>
  <c r="S32" i="35"/>
  <c r="W11" i="41"/>
  <c r="W17" i="41"/>
  <c r="X415" i="38"/>
  <c r="X430" i="38"/>
  <c r="X403" i="38" s="1"/>
  <c r="X416" i="38" s="1"/>
  <c r="X425" i="38"/>
  <c r="X414" i="38"/>
  <c r="X434" i="38"/>
  <c r="X406" i="38" s="1"/>
  <c r="E37" i="35"/>
  <c r="D36" i="35"/>
  <c r="L36" i="35" s="1"/>
  <c r="T40" i="40"/>
  <c r="T34" i="40"/>
  <c r="G78" i="28"/>
  <c r="D35" i="28"/>
  <c r="X9" i="38"/>
  <c r="X62" i="40"/>
  <c r="X120" i="40"/>
  <c r="W121" i="40"/>
  <c r="U45" i="41"/>
  <c r="U33" i="41"/>
  <c r="U42" i="41"/>
  <c r="Z168" i="40"/>
  <c r="Y169" i="40"/>
  <c r="Y177" i="40"/>
  <c r="Z97" i="40"/>
  <c r="Y98" i="40"/>
  <c r="Y103" i="40" s="1"/>
  <c r="Y108" i="40"/>
  <c r="W195" i="41"/>
  <c r="W189" i="41"/>
  <c r="W193" i="41"/>
  <c r="W190" i="41"/>
  <c r="W192" i="41"/>
  <c r="W191" i="41"/>
  <c r="W197" i="41"/>
  <c r="W205" i="41"/>
  <c r="W183" i="41"/>
  <c r="W194" i="41"/>
  <c r="V32" i="40"/>
  <c r="U35" i="40"/>
  <c r="H95" i="28"/>
  <c r="X127" i="41"/>
  <c r="X128" i="41" s="1"/>
  <c r="X12" i="41"/>
  <c r="J41" i="28"/>
  <c r="Y66" i="40"/>
  <c r="Y56" i="40"/>
  <c r="Y61" i="40" s="1"/>
  <c r="Z55" i="40"/>
  <c r="U18" i="40"/>
  <c r="V194" i="41"/>
  <c r="V195" i="41"/>
  <c r="V197" i="41"/>
  <c r="V192" i="41"/>
  <c r="V183" i="41"/>
  <c r="V193" i="41"/>
  <c r="V190" i="41"/>
  <c r="V191" i="41"/>
  <c r="V205" i="41"/>
  <c r="V189" i="41"/>
  <c r="V197" i="40"/>
  <c r="V190" i="40"/>
  <c r="V192" i="40"/>
  <c r="V189" i="40"/>
  <c r="V183" i="40"/>
  <c r="V193" i="40"/>
  <c r="V205" i="40"/>
  <c r="V195" i="40"/>
  <c r="V191" i="40"/>
  <c r="V194" i="40"/>
  <c r="AB29" i="35"/>
  <c r="T30" i="35"/>
  <c r="X83" i="40"/>
  <c r="N39" i="28"/>
  <c r="Z79" i="41"/>
  <c r="Z100" i="41"/>
  <c r="Z171" i="41"/>
  <c r="Z173" i="41" s="1"/>
  <c r="Z58" i="41"/>
  <c r="Z239" i="41"/>
  <c r="Z242" i="41" s="1"/>
  <c r="Z175" i="41"/>
  <c r="X118" i="41"/>
  <c r="X130" i="41"/>
  <c r="Z9" i="41"/>
  <c r="Z12" i="41" s="1"/>
  <c r="Y12" i="41"/>
  <c r="V17" i="40"/>
  <c r="V11" i="40"/>
  <c r="V12" i="41"/>
  <c r="X104" i="41"/>
  <c r="V34" i="41"/>
  <c r="V40" i="41"/>
  <c r="Y169" i="41"/>
  <c r="Z168" i="41"/>
  <c r="Z169" i="41" s="1"/>
  <c r="U127" i="40"/>
  <c r="U128" i="40" s="1"/>
  <c r="Z236" i="40"/>
  <c r="Y237" i="40"/>
  <c r="Y242" i="40" s="1"/>
  <c r="Y247" i="40"/>
  <c r="Z126" i="41"/>
  <c r="Z119" i="41"/>
  <c r="Y87" i="40"/>
  <c r="Z76" i="40"/>
  <c r="Y77" i="40"/>
  <c r="Y82" i="40" s="1"/>
  <c r="Y243" i="41"/>
  <c r="X363" i="38"/>
  <c r="X376" i="38" s="1"/>
  <c r="Z2" i="42"/>
  <c r="Y47" i="42"/>
  <c r="Y1" i="42"/>
  <c r="J35" i="28"/>
  <c r="G40" i="28"/>
  <c r="W12" i="40"/>
  <c r="X9" i="40"/>
  <c r="X179" i="41"/>
  <c r="X182" i="41"/>
  <c r="X199" i="41" s="1"/>
  <c r="K88" i="28"/>
  <c r="K102" i="28" s="1"/>
  <c r="X186" i="40"/>
  <c r="X180" i="40"/>
  <c r="Y98" i="41"/>
  <c r="Y103" i="41" s="1"/>
  <c r="Z97" i="41"/>
  <c r="Y108" i="41"/>
  <c r="X32" i="41"/>
  <c r="W35" i="41"/>
  <c r="W12" i="38" l="1"/>
  <c r="U19" i="40"/>
  <c r="U10" i="40"/>
  <c r="G44" i="28"/>
  <c r="U43" i="41"/>
  <c r="L47" i="28"/>
  <c r="E99" i="28"/>
  <c r="M35" i="28"/>
  <c r="L38" i="28"/>
  <c r="L88" i="28"/>
  <c r="L102" i="28" s="1"/>
  <c r="I104" i="28"/>
  <c r="G22" i="40"/>
  <c r="G10" i="40"/>
  <c r="M104" i="28"/>
  <c r="L95" i="28"/>
  <c r="E41" i="28"/>
  <c r="K86" i="28"/>
  <c r="K100" i="28" s="1"/>
  <c r="M42" i="28"/>
  <c r="I97" i="28"/>
  <c r="N88" i="28"/>
  <c r="N102" i="28" s="1"/>
  <c r="N51" i="28"/>
  <c r="N60" i="28" s="1"/>
  <c r="J38" i="28"/>
  <c r="J98" i="28"/>
  <c r="G104" i="28"/>
  <c r="H98" i="28"/>
  <c r="H45" i="28"/>
  <c r="F87" i="28"/>
  <c r="F101" i="28" s="1"/>
  <c r="N38" i="28"/>
  <c r="I98" i="28"/>
  <c r="D26" i="28"/>
  <c r="D56" i="28" s="1"/>
  <c r="M45" i="28"/>
  <c r="M27" i="28"/>
  <c r="M57" i="28" s="1"/>
  <c r="L44" i="28"/>
  <c r="H97" i="28"/>
  <c r="F78" i="28"/>
  <c r="I78" i="28"/>
  <c r="G99" i="28"/>
  <c r="I99" i="28"/>
  <c r="J104" i="28"/>
  <c r="I35" i="28"/>
  <c r="L40" i="28"/>
  <c r="D37" i="28"/>
  <c r="F35" i="28"/>
  <c r="J99" i="28"/>
  <c r="G38" i="28"/>
  <c r="J32" i="28"/>
  <c r="D46" i="28"/>
  <c r="J46" i="28"/>
  <c r="E92" i="28"/>
  <c r="K46" i="28"/>
  <c r="L87" i="28"/>
  <c r="L101" i="28" s="1"/>
  <c r="H37" i="28"/>
  <c r="G98" i="28"/>
  <c r="I42" i="28"/>
  <c r="I95" i="28"/>
  <c r="G87" i="28"/>
  <c r="G101" i="28" s="1"/>
  <c r="N45" i="28"/>
  <c r="G95" i="28"/>
  <c r="J45" i="28"/>
  <c r="H41" i="28"/>
  <c r="N47" i="28"/>
  <c r="I27" i="28"/>
  <c r="I57" i="28" s="1"/>
  <c r="G26" i="28"/>
  <c r="G56" i="28" s="1"/>
  <c r="D32" i="28"/>
  <c r="H86" i="28"/>
  <c r="H100" i="28" s="1"/>
  <c r="M47" i="28"/>
  <c r="E40" i="28"/>
  <c r="N87" i="28"/>
  <c r="N101" i="28" s="1"/>
  <c r="N78" i="28"/>
  <c r="E46" i="28"/>
  <c r="M39" i="28"/>
  <c r="G42" i="28"/>
  <c r="F86" i="28"/>
  <c r="F100" i="28" s="1"/>
  <c r="E27" i="28"/>
  <c r="E57" i="28" s="1"/>
  <c r="F39" i="28"/>
  <c r="I44" i="28"/>
  <c r="N23" i="28"/>
  <c r="L26" i="28"/>
  <c r="L56" i="28" s="1"/>
  <c r="E39" i="28"/>
  <c r="D42" i="28"/>
  <c r="N35" i="28"/>
  <c r="I32" i="28"/>
  <c r="F104" i="28"/>
  <c r="M40" i="28"/>
  <c r="H92" i="28"/>
  <c r="H104" i="28"/>
  <c r="J87" i="28"/>
  <c r="J101" i="28" s="1"/>
  <c r="J92" i="28"/>
  <c r="J86" i="28"/>
  <c r="J100" i="28" s="1"/>
  <c r="E37" i="28"/>
  <c r="L86" i="28"/>
  <c r="L100" i="28" s="1"/>
  <c r="M23" i="28"/>
  <c r="I87" i="28"/>
  <c r="I101" i="28" s="1"/>
  <c r="E32" i="28"/>
  <c r="K26" i="28"/>
  <c r="K56" i="28" s="1"/>
  <c r="E42" i="28"/>
  <c r="N98" i="28"/>
  <c r="H46" i="28"/>
  <c r="K95" i="28"/>
  <c r="I86" i="28"/>
  <c r="I100" i="28" s="1"/>
  <c r="H99" i="28"/>
  <c r="H27" i="28"/>
  <c r="H57" i="28" s="1"/>
  <c r="G37" i="28"/>
  <c r="F27" i="28"/>
  <c r="F57" i="28" s="1"/>
  <c r="H78" i="28"/>
  <c r="G41" i="28"/>
  <c r="M87" i="28"/>
  <c r="M101" i="28" s="1"/>
  <c r="K99" i="28"/>
  <c r="M78" i="28"/>
  <c r="G20" i="40"/>
  <c r="Y273" i="41"/>
  <c r="O12" i="38"/>
  <c r="O17" i="38" s="1"/>
  <c r="O18" i="38" s="1"/>
  <c r="X180" i="38"/>
  <c r="X186" i="38"/>
  <c r="S17" i="38"/>
  <c r="S18" i="38" s="1"/>
  <c r="S11" i="38"/>
  <c r="Z271" i="41"/>
  <c r="Z273" i="41" s="1"/>
  <c r="Z324" i="41"/>
  <c r="R83" i="41"/>
  <c r="W14" i="47"/>
  <c r="W15" i="47" s="1"/>
  <c r="W7" i="47" s="1"/>
  <c r="N83" i="41"/>
  <c r="S14" i="47"/>
  <c r="S15" i="47" s="1"/>
  <c r="S7" i="47" s="1"/>
  <c r="Z378" i="41"/>
  <c r="Z393" i="41"/>
  <c r="L83" i="41"/>
  <c r="Q14" i="47"/>
  <c r="Q15" i="47" s="1"/>
  <c r="Q7" i="47" s="1"/>
  <c r="H83" i="41"/>
  <c r="M14" i="47"/>
  <c r="M15" i="47" s="1"/>
  <c r="M7" i="47" s="1"/>
  <c r="Y176" i="38"/>
  <c r="Y177" i="38" s="1"/>
  <c r="Y186" i="38" s="1"/>
  <c r="S83" i="41"/>
  <c r="X14" i="47"/>
  <c r="X15" i="47" s="1"/>
  <c r="X7" i="47" s="1"/>
  <c r="O83" i="41"/>
  <c r="T14" i="47"/>
  <c r="T15" i="47" s="1"/>
  <c r="T7" i="47" s="1"/>
  <c r="Y433" i="41"/>
  <c r="Z228" i="41"/>
  <c r="Z87" i="41"/>
  <c r="Z77" i="41"/>
  <c r="Z82" i="41" s="1"/>
  <c r="Z83" i="41" s="1"/>
  <c r="K83" i="41"/>
  <c r="P14" i="47"/>
  <c r="P15" i="47" s="1"/>
  <c r="P7" i="47" s="1"/>
  <c r="F83" i="41"/>
  <c r="K14" i="47"/>
  <c r="K15" i="47" s="1"/>
  <c r="K7" i="47" s="1"/>
  <c r="Z277" i="41"/>
  <c r="Z308" i="41" s="1"/>
  <c r="U12" i="38"/>
  <c r="Z171" i="38"/>
  <c r="Z173" i="38" s="1"/>
  <c r="Z100" i="38"/>
  <c r="Z103" i="38" s="1"/>
  <c r="Z104" i="38" s="1"/>
  <c r="Z79" i="38"/>
  <c r="Z82" i="38" s="1"/>
  <c r="Z83" i="38" s="1"/>
  <c r="Z58" i="38"/>
  <c r="Z239" i="38"/>
  <c r="Z175" i="38"/>
  <c r="P83" i="41"/>
  <c r="U14" i="47"/>
  <c r="U15" i="47" s="1"/>
  <c r="U7" i="47" s="1"/>
  <c r="Q83" i="41"/>
  <c r="V14" i="47"/>
  <c r="V15" i="47" s="1"/>
  <c r="V7" i="47" s="1"/>
  <c r="Y326" i="41"/>
  <c r="Z157" i="41"/>
  <c r="Z159" i="41" s="1"/>
  <c r="M97" i="28"/>
  <c r="G46" i="28"/>
  <c r="I38" i="28"/>
  <c r="I26" i="28"/>
  <c r="I56" i="28" s="1"/>
  <c r="N99" i="28"/>
  <c r="L32" i="28"/>
  <c r="F42" i="28"/>
  <c r="F88" i="28"/>
  <c r="F102" i="28" s="1"/>
  <c r="J42" i="28"/>
  <c r="D51" i="28"/>
  <c r="D60" i="28" s="1"/>
  <c r="K104" i="28"/>
  <c r="G39" i="28"/>
  <c r="H88" i="28"/>
  <c r="H102" i="28" s="1"/>
  <c r="D40" i="28"/>
  <c r="J26" i="28"/>
  <c r="J56" i="28" s="1"/>
  <c r="M26" i="28"/>
  <c r="M56" i="28" s="1"/>
  <c r="E88" i="28"/>
  <c r="E102" i="28" s="1"/>
  <c r="N104" i="28"/>
  <c r="F97" i="28"/>
  <c r="M95" i="28"/>
  <c r="D41" i="28"/>
  <c r="L46" i="28"/>
  <c r="L97" i="28"/>
  <c r="I40" i="28"/>
  <c r="K39" i="28"/>
  <c r="L39" i="28"/>
  <c r="J40" i="28"/>
  <c r="M99" i="28"/>
  <c r="F99" i="28"/>
  <c r="J27" i="28"/>
  <c r="J57" i="28" s="1"/>
  <c r="E98" i="28"/>
  <c r="K44" i="28"/>
  <c r="H35" i="28"/>
  <c r="J95" i="28"/>
  <c r="M51" i="28"/>
  <c r="M60" i="28" s="1"/>
  <c r="K78" i="28"/>
  <c r="H42" i="28"/>
  <c r="D44" i="28"/>
  <c r="K27" i="28"/>
  <c r="K57" i="28" s="1"/>
  <c r="L99" i="28"/>
  <c r="H39" i="28"/>
  <c r="M44" i="28"/>
  <c r="E97" i="28"/>
  <c r="I88" i="28"/>
  <c r="I102" i="28" s="1"/>
  <c r="E86" i="28"/>
  <c r="E100" i="28" s="1"/>
  <c r="G92" i="28"/>
  <c r="E104" i="28"/>
  <c r="K42" i="28"/>
  <c r="J39" i="28"/>
  <c r="M41" i="28"/>
  <c r="F38" i="28"/>
  <c r="M88" i="28"/>
  <c r="M102" i="28" s="1"/>
  <c r="N32" i="28"/>
  <c r="N42" i="28"/>
  <c r="K97" i="28"/>
  <c r="J78" i="28"/>
  <c r="L98" i="28"/>
  <c r="I41" i="28"/>
  <c r="N97" i="28"/>
  <c r="N41" i="28"/>
  <c r="M92" i="28"/>
  <c r="J88" i="28"/>
  <c r="J102" i="28" s="1"/>
  <c r="K92" i="28"/>
  <c r="M32" i="28"/>
  <c r="E95" i="28"/>
  <c r="E44" i="28"/>
  <c r="D27" i="28"/>
  <c r="D57" i="28" s="1"/>
  <c r="K47" i="28"/>
  <c r="N37" i="28"/>
  <c r="H26" i="28"/>
  <c r="H56" i="28" s="1"/>
  <c r="H32" i="28"/>
  <c r="L42" i="28"/>
  <c r="I39" i="28"/>
  <c r="M46" i="28"/>
  <c r="K51" i="28"/>
  <c r="K60" i="28" s="1"/>
  <c r="K87" i="28"/>
  <c r="K101" i="28" s="1"/>
  <c r="L78" i="28"/>
  <c r="J97" i="28"/>
  <c r="D39" i="28"/>
  <c r="G35" i="28"/>
  <c r="N86" i="28"/>
  <c r="N100" i="28" s="1"/>
  <c r="I92" i="28"/>
  <c r="F44" i="28"/>
  <c r="N44" i="28"/>
  <c r="L92" i="28"/>
  <c r="G27" i="28"/>
  <c r="G57" i="28" s="1"/>
  <c r="E78" i="28"/>
  <c r="M86" i="28"/>
  <c r="M100" i="28" s="1"/>
  <c r="E35" i="28"/>
  <c r="G32" i="28"/>
  <c r="K32" i="28"/>
  <c r="E38" i="28"/>
  <c r="I46" i="28"/>
  <c r="M98" i="28"/>
  <c r="I37" i="28"/>
  <c r="I45" i="28"/>
  <c r="F37" i="28"/>
  <c r="N92" i="28"/>
  <c r="N95" i="28"/>
  <c r="H38" i="28"/>
  <c r="G45" i="28"/>
  <c r="F26" i="28"/>
  <c r="F56" i="28" s="1"/>
  <c r="F46" i="28"/>
  <c r="F95" i="28"/>
  <c r="K98" i="28"/>
  <c r="G88" i="28"/>
  <c r="G102" i="28" s="1"/>
  <c r="K45" i="28"/>
  <c r="K41" i="28"/>
  <c r="F45" i="28"/>
  <c r="D45" i="28"/>
  <c r="L35" i="28"/>
  <c r="L41" i="28"/>
  <c r="L37" i="28"/>
  <c r="N40" i="28"/>
  <c r="F92" i="28"/>
  <c r="M38" i="28"/>
  <c r="L51" i="28"/>
  <c r="L60" i="28" s="1"/>
  <c r="K40" i="28"/>
  <c r="F98" i="28"/>
  <c r="L27" i="28"/>
  <c r="L57" i="28" s="1"/>
  <c r="M37" i="28"/>
  <c r="J44" i="28"/>
  <c r="D38" i="28"/>
  <c r="L45" i="28"/>
  <c r="K38" i="28"/>
  <c r="J37" i="28"/>
  <c r="F40" i="28"/>
  <c r="H87" i="28"/>
  <c r="H101" i="28" s="1"/>
  <c r="E26" i="28"/>
  <c r="E56" i="28" s="1"/>
  <c r="K35" i="28"/>
  <c r="E45" i="28"/>
  <c r="G86" i="28"/>
  <c r="G100" i="28" s="1"/>
  <c r="E87" i="28"/>
  <c r="E101" i="28" s="1"/>
  <c r="N46" i="28"/>
  <c r="H44" i="28"/>
  <c r="F41" i="28"/>
  <c r="L104" i="28"/>
  <c r="G97" i="28"/>
  <c r="G83" i="41"/>
  <c r="L14" i="47"/>
  <c r="L15" i="47" s="1"/>
  <c r="L7" i="47" s="1"/>
  <c r="O14" i="47"/>
  <c r="O15" i="47" s="1"/>
  <c r="O7" i="47" s="1"/>
  <c r="J83" i="41"/>
  <c r="Z392" i="41"/>
  <c r="Z377" i="41"/>
  <c r="Z432" i="41"/>
  <c r="Z417" i="41"/>
  <c r="F12" i="38"/>
  <c r="Q12" i="38"/>
  <c r="L12" i="38"/>
  <c r="M12" i="38"/>
  <c r="V12" i="38"/>
  <c r="H12" i="38"/>
  <c r="K12" i="38"/>
  <c r="A8" i="38"/>
  <c r="R12" i="38"/>
  <c r="I12" i="38"/>
  <c r="P12" i="38"/>
  <c r="J12" i="38"/>
  <c r="N12" i="38"/>
  <c r="G12" i="38"/>
  <c r="T12" i="38"/>
  <c r="M83" i="41"/>
  <c r="R14" i="47"/>
  <c r="R15" i="47" s="1"/>
  <c r="R7" i="47" s="1"/>
  <c r="U20" i="40"/>
  <c r="N14" i="47"/>
  <c r="N15" i="47" s="1"/>
  <c r="N7" i="47" s="1"/>
  <c r="I83" i="41"/>
  <c r="C45" i="35"/>
  <c r="Y187" i="38"/>
  <c r="Q18" i="40"/>
  <c r="O18" i="40"/>
  <c r="P18" i="40"/>
  <c r="Q22" i="40"/>
  <c r="Q10" i="40"/>
  <c r="Q19" i="40"/>
  <c r="I22" i="40"/>
  <c r="I19" i="40"/>
  <c r="I20" i="40" s="1"/>
  <c r="I10" i="40"/>
  <c r="O22" i="40"/>
  <c r="O10" i="40"/>
  <c r="O19" i="40"/>
  <c r="H10" i="40"/>
  <c r="H19" i="40"/>
  <c r="H20" i="40" s="1"/>
  <c r="H22" i="40"/>
  <c r="P10" i="40"/>
  <c r="P19" i="40"/>
  <c r="P22" i="40"/>
  <c r="Y247" i="38"/>
  <c r="Y237" i="38"/>
  <c r="Y242" i="38" s="1"/>
  <c r="Y243" i="38" s="1"/>
  <c r="Z236" i="38"/>
  <c r="K10" i="40"/>
  <c r="K22" i="40"/>
  <c r="K19" i="40"/>
  <c r="K20" i="40" s="1"/>
  <c r="F18" i="40"/>
  <c r="N10" i="40"/>
  <c r="N19" i="40"/>
  <c r="N22" i="40"/>
  <c r="Z55" i="38"/>
  <c r="Y66" i="38"/>
  <c r="Y56" i="38"/>
  <c r="Y61" i="38" s="1"/>
  <c r="Y62" i="38" s="1"/>
  <c r="F19" i="40"/>
  <c r="F10" i="40"/>
  <c r="F22" i="40"/>
  <c r="L10" i="40"/>
  <c r="N18" i="40"/>
  <c r="R22" i="40"/>
  <c r="R19" i="40"/>
  <c r="R20" i="40" s="1"/>
  <c r="R10" i="40"/>
  <c r="T22" i="40"/>
  <c r="T19" i="40"/>
  <c r="T20" i="40" s="1"/>
  <c r="T10" i="40"/>
  <c r="AG35" i="35"/>
  <c r="AH34" i="35"/>
  <c r="H55" i="31"/>
  <c r="J19" i="40"/>
  <c r="J20" i="40" s="1"/>
  <c r="J22" i="40"/>
  <c r="J10" i="40"/>
  <c r="S43" i="40"/>
  <c r="T31" i="35"/>
  <c r="AB30" i="35"/>
  <c r="Y186" i="40"/>
  <c r="X12" i="38"/>
  <c r="Y9" i="38"/>
  <c r="W18" i="41"/>
  <c r="U17" i="41"/>
  <c r="U11" i="41"/>
  <c r="N17" i="41"/>
  <c r="N11" i="41"/>
  <c r="Y62" i="41"/>
  <c r="Z108" i="40"/>
  <c r="Z98" i="40"/>
  <c r="Z103" i="40" s="1"/>
  <c r="W17" i="38"/>
  <c r="W11" i="38"/>
  <c r="Z127" i="41"/>
  <c r="Z128" i="41" s="1"/>
  <c r="U34" i="40"/>
  <c r="U40" i="40"/>
  <c r="Y182" i="40"/>
  <c r="Y199" i="40" s="1"/>
  <c r="Y179" i="40"/>
  <c r="Y187" i="40" s="1"/>
  <c r="T42" i="40"/>
  <c r="T45" i="40"/>
  <c r="T33" i="40"/>
  <c r="W19" i="41"/>
  <c r="W22" i="41"/>
  <c r="T11" i="41"/>
  <c r="T17" i="41"/>
  <c r="Z425" i="38"/>
  <c r="Z434" i="38"/>
  <c r="Z415" i="38"/>
  <c r="Z414" i="38"/>
  <c r="Z430" i="38"/>
  <c r="Z403" i="38" s="1"/>
  <c r="Z416" i="38" s="1"/>
  <c r="Y186" i="41"/>
  <c r="Z56" i="41"/>
  <c r="Z61" i="41" s="1"/>
  <c r="Z66" i="41"/>
  <c r="AQ29" i="35"/>
  <c r="AI30" i="35"/>
  <c r="X189" i="40"/>
  <c r="X192" i="40"/>
  <c r="X197" i="40"/>
  <c r="X191" i="40"/>
  <c r="X205" i="40"/>
  <c r="X183" i="40"/>
  <c r="X190" i="40"/>
  <c r="X195" i="40"/>
  <c r="X193" i="40"/>
  <c r="X194" i="40"/>
  <c r="X187" i="41"/>
  <c r="X180" i="41"/>
  <c r="Z243" i="41"/>
  <c r="X11" i="41"/>
  <c r="X17" i="41"/>
  <c r="W32" i="40"/>
  <c r="V35" i="40"/>
  <c r="Z169" i="40"/>
  <c r="Z177" i="40"/>
  <c r="W126" i="40"/>
  <c r="W119" i="40"/>
  <c r="T41" i="40"/>
  <c r="Q17" i="41"/>
  <c r="Q11" i="41"/>
  <c r="J17" i="41"/>
  <c r="J11" i="41"/>
  <c r="Z363" i="38"/>
  <c r="Z376" i="38" s="1"/>
  <c r="Y118" i="41"/>
  <c r="Y130" i="41"/>
  <c r="E38" i="35"/>
  <c r="D37" i="35"/>
  <c r="L37" i="35" s="1"/>
  <c r="S17" i="41"/>
  <c r="S11" i="41"/>
  <c r="Z130" i="41"/>
  <c r="Z118" i="41"/>
  <c r="Y104" i="41"/>
  <c r="Y83" i="40"/>
  <c r="Z182" i="41"/>
  <c r="Z199" i="41" s="1"/>
  <c r="Z179" i="41"/>
  <c r="Z187" i="41" s="1"/>
  <c r="Y9" i="40"/>
  <c r="X12" i="40"/>
  <c r="Z47" i="42"/>
  <c r="Z1" i="42"/>
  <c r="Z77" i="40"/>
  <c r="Z82" i="40" s="1"/>
  <c r="Z87" i="40"/>
  <c r="Y182" i="41"/>
  <c r="Y199" i="41" s="1"/>
  <c r="Y179" i="41"/>
  <c r="Y187" i="41" s="1"/>
  <c r="Y11" i="41"/>
  <c r="Y17" i="41"/>
  <c r="Y120" i="40"/>
  <c r="X121" i="40"/>
  <c r="AA3" i="47"/>
  <c r="Z5" i="47"/>
  <c r="Z6" i="47"/>
  <c r="Z18" i="47"/>
  <c r="Z19" i="47" s="1"/>
  <c r="Z8" i="47" s="1"/>
  <c r="Z14" i="47"/>
  <c r="Z15" i="47" s="1"/>
  <c r="Z7" i="47" s="1"/>
  <c r="Z4" i="47"/>
  <c r="R17" i="41"/>
  <c r="R11" i="41"/>
  <c r="K11" i="41"/>
  <c r="K17" i="41"/>
  <c r="Z366" i="38"/>
  <c r="Y127" i="41"/>
  <c r="Y128" i="41" s="1"/>
  <c r="Y363" i="38"/>
  <c r="Y376" i="38" s="1"/>
  <c r="Z108" i="41"/>
  <c r="Z98" i="41"/>
  <c r="Z103" i="41" s="1"/>
  <c r="V17" i="41"/>
  <c r="V11" i="41"/>
  <c r="W10" i="41" s="1"/>
  <c r="W11" i="40"/>
  <c r="W17" i="40"/>
  <c r="Z17" i="41"/>
  <c r="Z11" i="41"/>
  <c r="Z176" i="41"/>
  <c r="Z177" i="41" s="1"/>
  <c r="R34" i="35"/>
  <c r="S33" i="35"/>
  <c r="V130" i="40"/>
  <c r="V118" i="40"/>
  <c r="O11" i="41"/>
  <c r="O17" i="41"/>
  <c r="G17" i="41"/>
  <c r="G11" i="41"/>
  <c r="F11" i="41"/>
  <c r="F17" i="41"/>
  <c r="V41" i="41"/>
  <c r="W40" i="41"/>
  <c r="W34" i="41"/>
  <c r="Y243" i="40"/>
  <c r="V45" i="41"/>
  <c r="V33" i="41"/>
  <c r="V42" i="41"/>
  <c r="V127" i="40"/>
  <c r="V128" i="40" s="1"/>
  <c r="P17" i="41"/>
  <c r="P11" i="41"/>
  <c r="I11" i="41"/>
  <c r="I17" i="41"/>
  <c r="Y415" i="38"/>
  <c r="Y425" i="38"/>
  <c r="Y434" i="38"/>
  <c r="Y406" i="38" s="1"/>
  <c r="Y430" i="38"/>
  <c r="Y403" i="38" s="1"/>
  <c r="Y416" i="38" s="1"/>
  <c r="Y414" i="38"/>
  <c r="V18" i="40"/>
  <c r="Y62" i="40"/>
  <c r="L17" i="41"/>
  <c r="L11" i="41"/>
  <c r="X35" i="41"/>
  <c r="Y32" i="41"/>
  <c r="Z247" i="40"/>
  <c r="Z237" i="40"/>
  <c r="Z242" i="40" s="1"/>
  <c r="V22" i="40"/>
  <c r="V10" i="40"/>
  <c r="V19" i="40"/>
  <c r="Z66" i="40"/>
  <c r="Z56" i="40"/>
  <c r="Z61" i="40" s="1"/>
  <c r="Y104" i="40"/>
  <c r="M17" i="41"/>
  <c r="M11" i="41"/>
  <c r="H17" i="41"/>
  <c r="H11" i="41"/>
  <c r="E105" i="28" l="1"/>
  <c r="O11" i="38"/>
  <c r="O19" i="38" s="1"/>
  <c r="O20" i="38" s="1"/>
  <c r="Y180" i="38"/>
  <c r="Y205" i="38" s="1"/>
  <c r="N105" i="28"/>
  <c r="J105" i="28"/>
  <c r="N20" i="40"/>
  <c r="H105" i="28"/>
  <c r="O20" i="40"/>
  <c r="F20" i="40"/>
  <c r="K105" i="28"/>
  <c r="I105" i="28"/>
  <c r="M105" i="28"/>
  <c r="Q20" i="40"/>
  <c r="M48" i="28"/>
  <c r="N48" i="28"/>
  <c r="L48" i="28"/>
  <c r="T43" i="40"/>
  <c r="K48" i="28"/>
  <c r="L105" i="28"/>
  <c r="X205" i="38"/>
  <c r="X193" i="38"/>
  <c r="X194" i="38"/>
  <c r="X190" i="38"/>
  <c r="X195" i="38"/>
  <c r="X192" i="38"/>
  <c r="X189" i="38"/>
  <c r="X183" i="38"/>
  <c r="X197" i="38"/>
  <c r="X191" i="38"/>
  <c r="J11" i="38"/>
  <c r="J17" i="38"/>
  <c r="J18" i="38" s="1"/>
  <c r="M17" i="38"/>
  <c r="M18" i="38" s="1"/>
  <c r="M11" i="38"/>
  <c r="P11" i="38"/>
  <c r="P17" i="38"/>
  <c r="L11" i="38"/>
  <c r="L17" i="38"/>
  <c r="L18" i="38" s="1"/>
  <c r="G105" i="28"/>
  <c r="I11" i="38"/>
  <c r="I17" i="38"/>
  <c r="I18" i="38" s="1"/>
  <c r="R11" i="38"/>
  <c r="S10" i="38" s="1"/>
  <c r="R17" i="38"/>
  <c r="R18" i="38" s="1"/>
  <c r="F17" i="38"/>
  <c r="F18" i="38" s="1"/>
  <c r="F11" i="38"/>
  <c r="Z433" i="41"/>
  <c r="Q17" i="38"/>
  <c r="Q18" i="38" s="1"/>
  <c r="Q11" i="38"/>
  <c r="P20" i="40"/>
  <c r="T11" i="38"/>
  <c r="T17" i="38"/>
  <c r="T18" i="38" s="1"/>
  <c r="K17" i="38"/>
  <c r="K11" i="38"/>
  <c r="F105" i="28"/>
  <c r="Z325" i="41"/>
  <c r="Z326" i="41" s="1"/>
  <c r="V20" i="40"/>
  <c r="G11" i="38"/>
  <c r="G17" i="38"/>
  <c r="H17" i="38"/>
  <c r="H11" i="38"/>
  <c r="Z176" i="38"/>
  <c r="Z177" i="38" s="1"/>
  <c r="S22" i="38"/>
  <c r="S19" i="38"/>
  <c r="S20" i="38" s="1"/>
  <c r="N11" i="38"/>
  <c r="N17" i="38"/>
  <c r="V11" i="38"/>
  <c r="W10" i="38" s="1"/>
  <c r="V17" i="38"/>
  <c r="U17" i="38"/>
  <c r="U11" i="38"/>
  <c r="W20" i="41"/>
  <c r="AG36" i="35"/>
  <c r="AH35" i="35"/>
  <c r="Z247" i="38"/>
  <c r="Z237" i="38"/>
  <c r="Z242" i="38" s="1"/>
  <c r="Z243" i="38" s="1"/>
  <c r="Z56" i="38"/>
  <c r="Z61" i="38" s="1"/>
  <c r="Z62" i="38" s="1"/>
  <c r="Z66" i="38"/>
  <c r="Y195" i="38"/>
  <c r="V43" i="41"/>
  <c r="F18" i="41"/>
  <c r="Z186" i="41"/>
  <c r="Z180" i="41"/>
  <c r="X11" i="40"/>
  <c r="X17" i="40"/>
  <c r="Q10" i="41"/>
  <c r="Q19" i="41"/>
  <c r="Q22" i="41"/>
  <c r="Z182" i="40"/>
  <c r="Z199" i="40" s="1"/>
  <c r="Z179" i="40"/>
  <c r="Z187" i="40" s="1"/>
  <c r="Z406" i="38"/>
  <c r="Z9" i="38"/>
  <c r="Z12" i="38" s="1"/>
  <c r="Y12" i="38"/>
  <c r="L18" i="41"/>
  <c r="Z83" i="40"/>
  <c r="Y12" i="40"/>
  <c r="Z9" i="40"/>
  <c r="Z12" i="40" s="1"/>
  <c r="Q18" i="41"/>
  <c r="V34" i="40"/>
  <c r="V40" i="40"/>
  <c r="X17" i="38"/>
  <c r="X11" i="38"/>
  <c r="AB31" i="35"/>
  <c r="T32" i="35"/>
  <c r="H10" i="41"/>
  <c r="H19" i="41"/>
  <c r="H22" i="41"/>
  <c r="Z22" i="41"/>
  <c r="Z10" i="41"/>
  <c r="Z19" i="41"/>
  <c r="M10" i="41"/>
  <c r="M19" i="41"/>
  <c r="M22" i="41"/>
  <c r="X32" i="40"/>
  <c r="W35" i="40"/>
  <c r="Z62" i="41"/>
  <c r="T18" i="41"/>
  <c r="N10" i="41"/>
  <c r="N19" i="41"/>
  <c r="N22" i="41"/>
  <c r="Y180" i="40"/>
  <c r="V18" i="41"/>
  <c r="Z120" i="40"/>
  <c r="Z121" i="40" s="1"/>
  <c r="Y121" i="40"/>
  <c r="J18" i="41"/>
  <c r="Z62" i="40"/>
  <c r="I18" i="41"/>
  <c r="Z18" i="41"/>
  <c r="M18" i="41"/>
  <c r="Y35" i="41"/>
  <c r="Z32" i="41"/>
  <c r="Z35" i="41" s="1"/>
  <c r="I19" i="41"/>
  <c r="I22" i="41"/>
  <c r="I10" i="41"/>
  <c r="W33" i="41"/>
  <c r="W42" i="41"/>
  <c r="W45" i="41"/>
  <c r="G19" i="41"/>
  <c r="G22" i="41"/>
  <c r="G10" i="41"/>
  <c r="K18" i="41"/>
  <c r="S19" i="41"/>
  <c r="S22" i="41"/>
  <c r="S10" i="41"/>
  <c r="X18" i="41"/>
  <c r="X190" i="41"/>
  <c r="X189" i="41"/>
  <c r="X194" i="41"/>
  <c r="X191" i="41"/>
  <c r="X183" i="41"/>
  <c r="X193" i="41"/>
  <c r="X197" i="41"/>
  <c r="X205" i="41"/>
  <c r="X192" i="41"/>
  <c r="X195" i="41"/>
  <c r="Y180" i="41"/>
  <c r="T19" i="41"/>
  <c r="T10" i="41"/>
  <c r="T22" i="41"/>
  <c r="W19" i="38"/>
  <c r="W22" i="38"/>
  <c r="N18" i="41"/>
  <c r="AQ30" i="35"/>
  <c r="AI31" i="35"/>
  <c r="Z243" i="40"/>
  <c r="Z104" i="41"/>
  <c r="X40" i="41"/>
  <c r="X34" i="41"/>
  <c r="P10" i="41"/>
  <c r="P19" i="41"/>
  <c r="P22" i="41"/>
  <c r="W41" i="41"/>
  <c r="G18" i="41"/>
  <c r="R35" i="35"/>
  <c r="S34" i="35"/>
  <c r="W18" i="40"/>
  <c r="K19" i="41"/>
  <c r="K22" i="41"/>
  <c r="K10" i="41"/>
  <c r="Y18" i="41"/>
  <c r="S18" i="41"/>
  <c r="X19" i="41"/>
  <c r="X10" i="41"/>
  <c r="X22" i="41"/>
  <c r="U41" i="40"/>
  <c r="W18" i="38"/>
  <c r="U19" i="41"/>
  <c r="U22" i="41"/>
  <c r="U10" i="41"/>
  <c r="E39" i="35"/>
  <c r="D38" i="35"/>
  <c r="L38" i="35" s="1"/>
  <c r="H18" i="41"/>
  <c r="P18" i="41"/>
  <c r="O18" i="41"/>
  <c r="W10" i="40"/>
  <c r="W19" i="40"/>
  <c r="W22" i="40"/>
  <c r="R10" i="41"/>
  <c r="R22" i="41"/>
  <c r="R19" i="41"/>
  <c r="AA4" i="47"/>
  <c r="AB3" i="47"/>
  <c r="AA14" i="47"/>
  <c r="AA15" i="47" s="1"/>
  <c r="AA7" i="47" s="1"/>
  <c r="F7" i="47" s="1"/>
  <c r="G34" i="43" s="1"/>
  <c r="AA5" i="47"/>
  <c r="AA6" i="47"/>
  <c r="AA18" i="47"/>
  <c r="AA19" i="47" s="1"/>
  <c r="AA8" i="47" s="1"/>
  <c r="F8" i="47" s="1"/>
  <c r="G35" i="43" s="1"/>
  <c r="Y22" i="41"/>
  <c r="Y10" i="41"/>
  <c r="Y19" i="41"/>
  <c r="W130" i="40"/>
  <c r="W118" i="40"/>
  <c r="U33" i="40"/>
  <c r="U45" i="40"/>
  <c r="U42" i="40"/>
  <c r="Z104" i="40"/>
  <c r="U18" i="41"/>
  <c r="Z186" i="40"/>
  <c r="F22" i="41"/>
  <c r="F10" i="41"/>
  <c r="F19" i="41"/>
  <c r="L10" i="41"/>
  <c r="L19" i="41"/>
  <c r="L22" i="41"/>
  <c r="O10" i="41"/>
  <c r="O22" i="41"/>
  <c r="O19" i="41"/>
  <c r="V10" i="41"/>
  <c r="V22" i="41"/>
  <c r="V19" i="41"/>
  <c r="R18" i="41"/>
  <c r="X126" i="40"/>
  <c r="X119" i="40"/>
  <c r="J22" i="41"/>
  <c r="J10" i="41"/>
  <c r="J19" i="41"/>
  <c r="W127" i="40"/>
  <c r="W128" i="40" s="1"/>
  <c r="Y183" i="38" l="1"/>
  <c r="O22" i="38"/>
  <c r="Y194" i="38"/>
  <c r="Y191" i="38"/>
  <c r="S20" i="41"/>
  <c r="F20" i="41"/>
  <c r="Y193" i="38"/>
  <c r="Y189" i="38"/>
  <c r="Y190" i="38"/>
  <c r="Y192" i="38"/>
  <c r="Y197" i="38"/>
  <c r="J20" i="41"/>
  <c r="Y20" i="41"/>
  <c r="R20" i="41"/>
  <c r="U20" i="41"/>
  <c r="H20" i="41"/>
  <c r="M20" i="41"/>
  <c r="Z180" i="40"/>
  <c r="Z190" i="40" s="1"/>
  <c r="X20" i="41"/>
  <c r="V10" i="38"/>
  <c r="V19" i="38"/>
  <c r="V22" i="38"/>
  <c r="H18" i="38"/>
  <c r="Z20" i="41"/>
  <c r="N18" i="38"/>
  <c r="G18" i="38"/>
  <c r="T19" i="38"/>
  <c r="T20" i="38" s="1"/>
  <c r="T22" i="38"/>
  <c r="T10" i="38"/>
  <c r="F10" i="38"/>
  <c r="F19" i="38"/>
  <c r="F20" i="38" s="1"/>
  <c r="F22" i="38"/>
  <c r="L10" i="38"/>
  <c r="J81" i="28" s="1"/>
  <c r="L22" i="38"/>
  <c r="L19" i="38"/>
  <c r="L20" i="38" s="1"/>
  <c r="N22" i="38"/>
  <c r="O10" i="38"/>
  <c r="M81" i="28" s="1"/>
  <c r="N10" i="38"/>
  <c r="L81" i="28" s="1"/>
  <c r="N19" i="38"/>
  <c r="G10" i="38"/>
  <c r="E81" i="28" s="1"/>
  <c r="G22" i="38"/>
  <c r="G19" i="38"/>
  <c r="G20" i="38" s="1"/>
  <c r="P18" i="38"/>
  <c r="P19" i="38"/>
  <c r="P22" i="38"/>
  <c r="P10" i="38"/>
  <c r="N81" i="28" s="1"/>
  <c r="R19" i="38"/>
  <c r="R20" i="38" s="1"/>
  <c r="R22" i="38"/>
  <c r="R10" i="38"/>
  <c r="M10" i="38"/>
  <c r="M19" i="38"/>
  <c r="M20" i="38" s="1"/>
  <c r="M22" i="38"/>
  <c r="I20" i="41"/>
  <c r="U10" i="38"/>
  <c r="U19" i="38"/>
  <c r="U22" i="38"/>
  <c r="O20" i="41"/>
  <c r="P20" i="41"/>
  <c r="N20" i="41"/>
  <c r="U18" i="38"/>
  <c r="Z186" i="38"/>
  <c r="Z180" i="38"/>
  <c r="K19" i="38"/>
  <c r="K22" i="38"/>
  <c r="K10" i="38"/>
  <c r="I81" i="28" s="1"/>
  <c r="Q10" i="38"/>
  <c r="Q19" i="38"/>
  <c r="Q20" i="38" s="1"/>
  <c r="Q22" i="38"/>
  <c r="I22" i="38"/>
  <c r="I10" i="38"/>
  <c r="G81" i="28" s="1"/>
  <c r="I19" i="38"/>
  <c r="I20" i="38" s="1"/>
  <c r="K20" i="41"/>
  <c r="G20" i="41"/>
  <c r="V18" i="38"/>
  <c r="H22" i="38"/>
  <c r="H10" i="38"/>
  <c r="F81" i="28" s="1"/>
  <c r="H19" i="38"/>
  <c r="K18" i="38"/>
  <c r="J10" i="38"/>
  <c r="H81" i="28" s="1"/>
  <c r="J22" i="38"/>
  <c r="J19" i="38"/>
  <c r="J20" i="38" s="1"/>
  <c r="W20" i="38"/>
  <c r="V20" i="41"/>
  <c r="Q20" i="41"/>
  <c r="W20" i="40"/>
  <c r="W43" i="41"/>
  <c r="T20" i="41"/>
  <c r="L20" i="41"/>
  <c r="AH36" i="35"/>
  <c r="AG37" i="35"/>
  <c r="U43" i="40"/>
  <c r="W34" i="40"/>
  <c r="W40" i="40"/>
  <c r="AQ31" i="35"/>
  <c r="AI32" i="35"/>
  <c r="X35" i="40"/>
  <c r="Y32" i="40"/>
  <c r="K81" i="28"/>
  <c r="X19" i="38"/>
  <c r="X10" i="38"/>
  <c r="X22" i="38"/>
  <c r="Z11" i="40"/>
  <c r="Z17" i="40"/>
  <c r="Z17" i="38"/>
  <c r="Z11" i="38"/>
  <c r="R36" i="35"/>
  <c r="S35" i="35"/>
  <c r="X33" i="41"/>
  <c r="X45" i="41"/>
  <c r="X42" i="41"/>
  <c r="X18" i="38"/>
  <c r="Y17" i="40"/>
  <c r="Y11" i="40"/>
  <c r="AB6" i="47"/>
  <c r="AB4" i="47"/>
  <c r="AC3" i="47"/>
  <c r="AB5" i="47"/>
  <c r="E40" i="35"/>
  <c r="D39" i="35"/>
  <c r="L39" i="35" s="1"/>
  <c r="X41" i="41"/>
  <c r="X18" i="40"/>
  <c r="Y34" i="41"/>
  <c r="Y40" i="41"/>
  <c r="Y195" i="40"/>
  <c r="Y183" i="40"/>
  <c r="Y191" i="40"/>
  <c r="Y205" i="40"/>
  <c r="Y189" i="40"/>
  <c r="Y192" i="40"/>
  <c r="Y197" i="40"/>
  <c r="Y193" i="40"/>
  <c r="Y194" i="40"/>
  <c r="Y190" i="40"/>
  <c r="Y193" i="41"/>
  <c r="Y194" i="41"/>
  <c r="Y190" i="41"/>
  <c r="Y189" i="41"/>
  <c r="Y183" i="41"/>
  <c r="Y205" i="41"/>
  <c r="Y197" i="41"/>
  <c r="Y195" i="41"/>
  <c r="Y191" i="41"/>
  <c r="Y192" i="41"/>
  <c r="Y119" i="40"/>
  <c r="Y126" i="40"/>
  <c r="X19" i="40"/>
  <c r="X10" i="40"/>
  <c r="X22" i="40"/>
  <c r="Y11" i="38"/>
  <c r="Y17" i="38"/>
  <c r="Z194" i="40"/>
  <c r="Z205" i="40"/>
  <c r="Z191" i="40"/>
  <c r="Z126" i="40"/>
  <c r="Z119" i="40"/>
  <c r="V41" i="40"/>
  <c r="AB32" i="35"/>
  <c r="T33" i="35"/>
  <c r="V33" i="40"/>
  <c r="V42" i="40"/>
  <c r="V45" i="40"/>
  <c r="X118" i="40"/>
  <c r="X130" i="40"/>
  <c r="X127" i="40"/>
  <c r="X128" i="40" s="1"/>
  <c r="Z40" i="41"/>
  <c r="Z34" i="41"/>
  <c r="Z195" i="41"/>
  <c r="Z193" i="41"/>
  <c r="Z205" i="41"/>
  <c r="Z197" i="41"/>
  <c r="Z191" i="41"/>
  <c r="Z189" i="41"/>
  <c r="Z183" i="41"/>
  <c r="Z194" i="41"/>
  <c r="Z190" i="41"/>
  <c r="Z192" i="41"/>
  <c r="Z195" i="40" l="1"/>
  <c r="Z189" i="40"/>
  <c r="V20" i="38"/>
  <c r="Z197" i="40"/>
  <c r="U20" i="38"/>
  <c r="Z192" i="40"/>
  <c r="Z183" i="40"/>
  <c r="Z193" i="40"/>
  <c r="N20" i="38"/>
  <c r="P20" i="38"/>
  <c r="K20" i="38"/>
  <c r="H20" i="38"/>
  <c r="X20" i="38"/>
  <c r="Z195" i="38"/>
  <c r="Z205" i="38"/>
  <c r="Z192" i="38"/>
  <c r="Z190" i="38"/>
  <c r="Z197" i="38"/>
  <c r="Z189" i="38"/>
  <c r="Z193" i="38"/>
  <c r="Z183" i="38"/>
  <c r="Z191" i="38"/>
  <c r="Z194" i="38"/>
  <c r="X20" i="40"/>
  <c r="V43" i="40"/>
  <c r="X43" i="41"/>
  <c r="AH37" i="35"/>
  <c r="AG38" i="35"/>
  <c r="T34" i="35"/>
  <c r="AB33" i="35"/>
  <c r="Y45" i="41"/>
  <c r="Y42" i="41"/>
  <c r="Y33" i="41"/>
  <c r="Y19" i="40"/>
  <c r="Y10" i="40"/>
  <c r="Y22" i="40"/>
  <c r="Z10" i="38"/>
  <c r="Z19" i="38"/>
  <c r="Z22" i="38"/>
  <c r="Y18" i="40"/>
  <c r="AI33" i="35"/>
  <c r="AQ32" i="35"/>
  <c r="E41" i="35"/>
  <c r="D40" i="35"/>
  <c r="L40" i="35" s="1"/>
  <c r="Z18" i="40"/>
  <c r="Z41" i="41"/>
  <c r="Y41" i="41"/>
  <c r="W42" i="40"/>
  <c r="W33" i="40"/>
  <c r="W45" i="40"/>
  <c r="Y127" i="40"/>
  <c r="Y128" i="40" s="1"/>
  <c r="Z22" i="40"/>
  <c r="Z10" i="40"/>
  <c r="Z19" i="40"/>
  <c r="Y130" i="40"/>
  <c r="Y118" i="40"/>
  <c r="Z32" i="40"/>
  <c r="Z35" i="40" s="1"/>
  <c r="Y35" i="40"/>
  <c r="Z18" i="38"/>
  <c r="Z130" i="40"/>
  <c r="Z118" i="40"/>
  <c r="Z33" i="41"/>
  <c r="Z45" i="41"/>
  <c r="Z42" i="41"/>
  <c r="Z127" i="40"/>
  <c r="Z128" i="40" s="1"/>
  <c r="Y18" i="38"/>
  <c r="AC4" i="47"/>
  <c r="AD3" i="47"/>
  <c r="AC6" i="47"/>
  <c r="AC5" i="47"/>
  <c r="X40" i="40"/>
  <c r="X34" i="40"/>
  <c r="Y22" i="38"/>
  <c r="Y19" i="38"/>
  <c r="Y10" i="38"/>
  <c r="AB10" i="47"/>
  <c r="R37" i="35"/>
  <c r="S36" i="35"/>
  <c r="W41" i="40"/>
  <c r="Z20" i="38" l="1"/>
  <c r="Y43" i="41"/>
  <c r="Z20" i="40"/>
  <c r="Y20" i="40"/>
  <c r="AH38" i="35"/>
  <c r="AG39" i="35"/>
  <c r="Y20" i="38"/>
  <c r="Z43" i="41"/>
  <c r="W43" i="40"/>
  <c r="R38" i="35"/>
  <c r="S37" i="35"/>
  <c r="AC10" i="47"/>
  <c r="Y34" i="40"/>
  <c r="Y40" i="40"/>
  <c r="AD5" i="47"/>
  <c r="AD6" i="47"/>
  <c r="AD4" i="47"/>
  <c r="AE3" i="47"/>
  <c r="Z34" i="40"/>
  <c r="Z40" i="40"/>
  <c r="AB34" i="35"/>
  <c r="T35" i="35"/>
  <c r="E42" i="35"/>
  <c r="D41" i="35"/>
  <c r="L41" i="35" s="1"/>
  <c r="AQ33" i="35"/>
  <c r="AI34" i="35"/>
  <c r="X45" i="40"/>
  <c r="X42" i="40"/>
  <c r="X33" i="40"/>
  <c r="X41" i="40"/>
  <c r="AH39" i="35" l="1"/>
  <c r="AG40" i="35"/>
  <c r="X43" i="40"/>
  <c r="Y41" i="40"/>
  <c r="AQ34" i="35"/>
  <c r="AI35" i="35"/>
  <c r="Z41" i="40"/>
  <c r="Z43" i="40" s="1"/>
  <c r="Y33" i="40"/>
  <c r="Y45" i="40"/>
  <c r="Y42" i="40"/>
  <c r="Z42" i="40"/>
  <c r="Z33" i="40"/>
  <c r="Z45" i="40"/>
  <c r="R39" i="35"/>
  <c r="S38" i="35"/>
  <c r="E43" i="35"/>
  <c r="D42" i="35"/>
  <c r="L42" i="35" s="1"/>
  <c r="T36" i="35"/>
  <c r="AB35" i="35"/>
  <c r="AF3" i="47"/>
  <c r="AE6" i="47"/>
  <c r="AE4" i="47"/>
  <c r="AE10" i="47" s="1"/>
  <c r="AE5" i="47"/>
  <c r="AD10" i="47"/>
  <c r="Y43" i="40" l="1"/>
  <c r="AG41" i="35"/>
  <c r="AH40" i="35"/>
  <c r="AI36" i="35"/>
  <c r="AQ35" i="35"/>
  <c r="E44" i="35"/>
  <c r="D43" i="35"/>
  <c r="L43" i="35" s="1"/>
  <c r="AB36" i="35"/>
  <c r="T37" i="35"/>
  <c r="AG3" i="47"/>
  <c r="AF6" i="47"/>
  <c r="AF4" i="47"/>
  <c r="AF5" i="47"/>
  <c r="R40" i="35"/>
  <c r="S39" i="35"/>
  <c r="AH41" i="35" l="1"/>
  <c r="AG42" i="35"/>
  <c r="AH3" i="47"/>
  <c r="AG6" i="47"/>
  <c r="AG4" i="47"/>
  <c r="AG5" i="47"/>
  <c r="AB37" i="35"/>
  <c r="T38" i="35"/>
  <c r="AI37" i="35"/>
  <c r="AQ36" i="35"/>
  <c r="E45" i="35"/>
  <c r="D44" i="35"/>
  <c r="L44" i="35" s="1"/>
  <c r="S40" i="35"/>
  <c r="R41" i="35"/>
  <c r="AF10" i="47"/>
  <c r="AG10" i="47" l="1"/>
  <c r="AH42" i="35"/>
  <c r="AG43" i="35"/>
  <c r="AQ37" i="35"/>
  <c r="AI38" i="35"/>
  <c r="T39" i="35"/>
  <c r="AB38" i="35"/>
  <c r="R42" i="35"/>
  <c r="S41" i="35"/>
  <c r="D45" i="35"/>
  <c r="L45" i="35" s="1"/>
  <c r="AH4" i="47"/>
  <c r="AH10" i="47" s="1"/>
  <c r="AH6" i="47"/>
  <c r="AH5" i="47"/>
  <c r="AI3" i="47"/>
  <c r="AG44" i="35" l="1"/>
  <c r="AH43" i="35"/>
  <c r="AJ3" i="47"/>
  <c r="AI6" i="47"/>
  <c r="AI4" i="47"/>
  <c r="AI5" i="47"/>
  <c r="S42" i="35"/>
  <c r="R43" i="35"/>
  <c r="AQ38" i="35"/>
  <c r="AI39" i="35"/>
  <c r="AB39" i="35"/>
  <c r="T40" i="35"/>
  <c r="AI10" i="47" l="1"/>
  <c r="AH44" i="35"/>
  <c r="AG45" i="35"/>
  <c r="AI40" i="35"/>
  <c r="AQ39" i="35"/>
  <c r="R44" i="35"/>
  <c r="S43" i="35"/>
  <c r="T41" i="35"/>
  <c r="AB40" i="35"/>
  <c r="AJ6" i="47"/>
  <c r="AK3" i="47"/>
  <c r="AJ5" i="47"/>
  <c r="AJ4" i="47"/>
  <c r="AJ10" i="47" l="1"/>
  <c r="AH45" i="35"/>
  <c r="J55" i="31"/>
  <c r="S44" i="35"/>
  <c r="R45" i="35"/>
  <c r="T42" i="35"/>
  <c r="AB41" i="35"/>
  <c r="AK6" i="47"/>
  <c r="AK5" i="47"/>
  <c r="AK4" i="47"/>
  <c r="AL3" i="47"/>
  <c r="AQ40" i="35"/>
  <c r="AI41" i="35"/>
  <c r="AB42" i="35" l="1"/>
  <c r="T43" i="35"/>
  <c r="AQ41" i="35"/>
  <c r="AI42" i="35"/>
  <c r="AL6" i="47"/>
  <c r="AL5" i="47"/>
  <c r="AL4" i="47"/>
  <c r="AM3" i="47"/>
  <c r="S45" i="35"/>
  <c r="I55" i="31"/>
  <c r="AK10" i="47"/>
  <c r="AB55" i="31" l="1"/>
  <c r="O55" i="31"/>
  <c r="AA55" i="31"/>
  <c r="AJ55" i="31"/>
  <c r="AL55" i="31"/>
  <c r="S55" i="31"/>
  <c r="AD55" i="31"/>
  <c r="N55" i="31"/>
  <c r="G55" i="31"/>
  <c r="P55" i="31"/>
  <c r="Z55" i="31"/>
  <c r="T55" i="31"/>
  <c r="AK55" i="31"/>
  <c r="AV55" i="31"/>
  <c r="AM55" i="31"/>
  <c r="AY55" i="31"/>
  <c r="BC55" i="31"/>
  <c r="AX55" i="31"/>
  <c r="AC55" i="31"/>
  <c r="AF55" i="31"/>
  <c r="AP55" i="31"/>
  <c r="AW55" i="31"/>
  <c r="BA55" i="31"/>
  <c r="R55" i="31"/>
  <c r="Y55" i="31"/>
  <c r="M55" i="31"/>
  <c r="AQ55" i="31"/>
  <c r="AR55" i="31"/>
  <c r="AO55" i="31"/>
  <c r="U55" i="31"/>
  <c r="AU55" i="31"/>
  <c r="AE55" i="31"/>
  <c r="Q55" i="31"/>
  <c r="AZ55" i="31"/>
  <c r="AG55" i="31"/>
  <c r="BB55" i="31"/>
  <c r="AN55" i="31"/>
  <c r="AQ42" i="35"/>
  <c r="AI43" i="35"/>
  <c r="T44" i="35"/>
  <c r="AB43" i="35"/>
  <c r="AN3" i="47"/>
  <c r="AM5" i="47"/>
  <c r="AM6" i="47"/>
  <c r="AM4" i="47"/>
  <c r="AL10" i="47"/>
  <c r="AM10" i="47" l="1"/>
  <c r="AB44" i="35"/>
  <c r="T45" i="35"/>
  <c r="AB45" i="35" s="1"/>
  <c r="F55" i="31"/>
  <c r="AN4" i="47"/>
  <c r="AN10" i="47" s="1"/>
  <c r="AN6" i="47"/>
  <c r="AN5" i="47"/>
  <c r="AO3" i="47"/>
  <c r="AQ43" i="35"/>
  <c r="AI44" i="35"/>
  <c r="AO4" i="47" l="1"/>
  <c r="AO5" i="47"/>
  <c r="AO6" i="47"/>
  <c r="AP3" i="47"/>
  <c r="AQ44" i="35"/>
  <c r="AI45" i="35"/>
  <c r="AQ45" i="35" s="1"/>
  <c r="AO10" i="47" l="1"/>
  <c r="AP4" i="47"/>
  <c r="AP6" i="47"/>
  <c r="AQ3" i="47"/>
  <c r="AP5" i="47"/>
  <c r="AP10" i="47" l="1"/>
  <c r="AQ5" i="47"/>
  <c r="AQ6" i="47"/>
  <c r="AQ4" i="47"/>
  <c r="AR3" i="47"/>
  <c r="AQ10" i="47" l="1"/>
  <c r="AR5" i="47"/>
  <c r="AR4" i="47"/>
  <c r="AS3" i="47"/>
  <c r="AR6" i="47"/>
  <c r="AR10" i="47" l="1"/>
  <c r="AT3" i="47"/>
  <c r="AS5" i="47"/>
  <c r="AS4" i="47"/>
  <c r="AS10" i="47" s="1"/>
  <c r="AS6" i="47"/>
  <c r="AT6" i="47" l="1"/>
  <c r="AT5" i="47"/>
  <c r="AT4" i="47"/>
  <c r="AT10" i="47" s="1"/>
  <c r="AU3" i="47"/>
  <c r="AU5" i="47" l="1"/>
  <c r="F5" i="47" s="1"/>
  <c r="G36" i="43" s="1"/>
  <c r="AU6" i="47"/>
  <c r="F6" i="47" s="1"/>
  <c r="G33" i="43" s="1"/>
  <c r="AU4" i="47"/>
  <c r="AU10" i="47" l="1"/>
  <c r="F4" i="47"/>
  <c r="G37" i="43" s="1"/>
  <c r="E3" i="33" l="1"/>
  <c r="M3" i="33"/>
  <c r="E4" i="33"/>
  <c r="M4" i="33"/>
  <c r="E8" i="33"/>
  <c r="M8" i="33"/>
  <c r="U8" i="33"/>
  <c r="E9" i="33"/>
  <c r="M9" i="33"/>
  <c r="U9" i="33"/>
  <c r="E10" i="33"/>
  <c r="M10" i="33"/>
  <c r="U10" i="33"/>
  <c r="E11" i="33"/>
  <c r="M11" i="33"/>
  <c r="U11" i="33"/>
  <c r="E14" i="33"/>
  <c r="M14" i="33"/>
  <c r="U14" i="33"/>
  <c r="E15" i="33"/>
  <c r="M15" i="33"/>
  <c r="U15" i="33"/>
  <c r="E16" i="33"/>
  <c r="M16" i="33"/>
  <c r="U16" i="33"/>
  <c r="E17" i="33"/>
  <c r="M17" i="33"/>
  <c r="U17" i="33"/>
  <c r="E18" i="33"/>
  <c r="M18" i="33"/>
  <c r="U18" i="33"/>
  <c r="F58" i="31"/>
  <c r="G58" i="31"/>
  <c r="H58" i="31"/>
  <c r="I58" i="31"/>
  <c r="J58" i="31"/>
  <c r="M58" i="31"/>
  <c r="N58" i="31"/>
  <c r="O58" i="31"/>
  <c r="P58" i="31"/>
  <c r="Q58" i="31"/>
  <c r="R58" i="31"/>
  <c r="S58" i="31"/>
  <c r="T58" i="31"/>
  <c r="U58" i="31"/>
  <c r="Y58" i="31"/>
  <c r="Z58" i="31"/>
  <c r="AA58" i="31"/>
  <c r="AB58" i="31"/>
  <c r="AC58" i="31"/>
  <c r="AD58" i="31"/>
  <c r="AE58" i="31"/>
  <c r="AF58" i="31"/>
  <c r="AG58" i="31"/>
  <c r="AJ58" i="31"/>
  <c r="AK58" i="31"/>
  <c r="AL58" i="31"/>
  <c r="AM58" i="31"/>
  <c r="AN58" i="31"/>
  <c r="AO58" i="31"/>
  <c r="AP58" i="31"/>
  <c r="AQ58" i="31"/>
  <c r="AR58" i="31"/>
  <c r="AU58" i="31"/>
  <c r="AV58" i="31"/>
  <c r="AW58" i="31"/>
  <c r="AX58" i="31"/>
  <c r="AY58" i="31"/>
  <c r="AZ58" i="31"/>
  <c r="BA58" i="31"/>
  <c r="BB58" i="31"/>
  <c r="BC58" i="31"/>
  <c r="F63" i="31"/>
  <c r="G63" i="31"/>
  <c r="H63" i="31"/>
  <c r="I63" i="31"/>
  <c r="J63" i="31"/>
  <c r="M63" i="31"/>
  <c r="N63" i="31"/>
  <c r="O63" i="31"/>
  <c r="P63" i="31"/>
  <c r="Q63" i="31"/>
  <c r="R63" i="31"/>
  <c r="S63" i="31"/>
  <c r="T63" i="31"/>
  <c r="U63" i="31"/>
  <c r="Y63" i="31"/>
  <c r="Z63" i="31"/>
  <c r="AA63" i="31"/>
  <c r="AB63" i="31"/>
  <c r="AC63" i="31"/>
  <c r="AD63" i="31"/>
  <c r="AE63" i="31"/>
  <c r="AF63" i="31"/>
  <c r="AG63" i="31"/>
  <c r="AJ63" i="31"/>
  <c r="AK63" i="31"/>
  <c r="AL63" i="31"/>
  <c r="AM63" i="31"/>
  <c r="AN63" i="31"/>
  <c r="AO63" i="31"/>
  <c r="AP63" i="31"/>
  <c r="AQ63" i="31"/>
  <c r="AR63" i="31"/>
  <c r="AU63" i="31"/>
  <c r="AV63" i="31"/>
  <c r="AW63" i="31"/>
  <c r="AX63" i="31"/>
  <c r="AY63" i="31"/>
  <c r="AZ63" i="31"/>
  <c r="BA63" i="31"/>
  <c r="BB63" i="31"/>
  <c r="BC63" i="31"/>
  <c r="F64" i="31"/>
  <c r="G64" i="31"/>
  <c r="H64" i="31"/>
  <c r="I64" i="31"/>
  <c r="J64" i="31"/>
  <c r="M64" i="31"/>
  <c r="N64" i="31"/>
  <c r="O64" i="31"/>
  <c r="P64" i="31"/>
  <c r="Q64" i="31"/>
  <c r="R64" i="31"/>
  <c r="S64" i="31"/>
  <c r="T64" i="31"/>
  <c r="U64" i="31"/>
  <c r="X64" i="31"/>
  <c r="Y64" i="31"/>
  <c r="Z64" i="31"/>
  <c r="AA64" i="31"/>
  <c r="AB64" i="31"/>
  <c r="AC64" i="31"/>
  <c r="AD64" i="31"/>
  <c r="AE64" i="31"/>
  <c r="AF64" i="31"/>
  <c r="AG64" i="31"/>
  <c r="AI64" i="31"/>
  <c r="AJ64" i="31"/>
  <c r="AK64" i="31"/>
  <c r="AL64" i="31"/>
  <c r="AM64" i="31"/>
  <c r="AN64" i="31"/>
  <c r="AO64" i="31"/>
  <c r="AP64" i="31"/>
  <c r="AQ64" i="31"/>
  <c r="AR64" i="31"/>
  <c r="AT64" i="31"/>
  <c r="AU64" i="31"/>
  <c r="AV64" i="31"/>
  <c r="AW64" i="31"/>
  <c r="AX64" i="31"/>
  <c r="AY64" i="31"/>
  <c r="AZ64" i="31"/>
  <c r="BA64" i="31"/>
  <c r="BB64" i="31"/>
  <c r="BC64" i="31"/>
  <c r="F67" i="31"/>
  <c r="G67" i="31"/>
  <c r="H67" i="31"/>
  <c r="I67" i="31"/>
  <c r="J67" i="31"/>
  <c r="M67" i="31"/>
  <c r="N67" i="31"/>
  <c r="O67" i="31"/>
  <c r="P67" i="31"/>
  <c r="Q67" i="31"/>
  <c r="R67" i="31"/>
  <c r="S67" i="31"/>
  <c r="T67" i="31"/>
  <c r="U67" i="31"/>
  <c r="Y67" i="31"/>
  <c r="Z67" i="31"/>
  <c r="AA67" i="31"/>
  <c r="AB67" i="31"/>
  <c r="AC67" i="31"/>
  <c r="AD67" i="31"/>
  <c r="AE67" i="31"/>
  <c r="AF67" i="31"/>
  <c r="AG67" i="31"/>
  <c r="AJ67" i="31"/>
  <c r="AK67" i="31"/>
  <c r="AL67" i="31"/>
  <c r="AM67" i="31"/>
  <c r="AN67" i="31"/>
  <c r="AO67" i="31"/>
  <c r="AP67" i="31"/>
  <c r="AQ67" i="31"/>
  <c r="AR67" i="31"/>
  <c r="AU67" i="31"/>
  <c r="AV67" i="31"/>
  <c r="AW67" i="31"/>
  <c r="AX67" i="31"/>
  <c r="AY67" i="31"/>
  <c r="AZ67" i="31"/>
  <c r="BA67" i="31"/>
  <c r="BB67" i="31"/>
  <c r="BC67" i="31"/>
  <c r="F68" i="31"/>
  <c r="G68" i="31"/>
  <c r="H68" i="31"/>
  <c r="I68" i="31"/>
  <c r="J68" i="31"/>
  <c r="M68" i="31"/>
  <c r="N68" i="31"/>
  <c r="O68" i="31"/>
  <c r="P68" i="31"/>
  <c r="Q68" i="31"/>
  <c r="R68" i="31"/>
  <c r="S68" i="31"/>
  <c r="T68" i="31"/>
  <c r="U68" i="31"/>
  <c r="Y68" i="31"/>
  <c r="Z68" i="31"/>
  <c r="AA68" i="31"/>
  <c r="AB68" i="31"/>
  <c r="AC68" i="31"/>
  <c r="AD68" i="31"/>
  <c r="AE68" i="31"/>
  <c r="AF68" i="31"/>
  <c r="AG68" i="31"/>
  <c r="AJ68" i="31"/>
  <c r="AK68" i="31"/>
  <c r="AL68" i="31"/>
  <c r="AM68" i="31"/>
  <c r="AN68" i="31"/>
  <c r="AO68" i="31"/>
  <c r="AP68" i="31"/>
  <c r="AQ68" i="31"/>
  <c r="AR68" i="31"/>
  <c r="AU68" i="31"/>
  <c r="AV68" i="31"/>
  <c r="AW68" i="31"/>
  <c r="AX68" i="31"/>
  <c r="AY68" i="31"/>
  <c r="AZ68" i="31"/>
  <c r="BA68" i="31"/>
  <c r="BB68" i="31"/>
  <c r="BC68" i="31"/>
  <c r="F69" i="31"/>
  <c r="G69" i="31"/>
  <c r="H69" i="31"/>
  <c r="I69" i="31"/>
  <c r="J69" i="31"/>
  <c r="M69" i="31"/>
  <c r="N69" i="31"/>
  <c r="O69" i="31"/>
  <c r="P69" i="31"/>
  <c r="Q69" i="31"/>
  <c r="R69" i="31"/>
  <c r="S69" i="31"/>
  <c r="T69" i="31"/>
  <c r="U69" i="31"/>
  <c r="Y69" i="31"/>
  <c r="Z69" i="31"/>
  <c r="AA69" i="31"/>
  <c r="AB69" i="31"/>
  <c r="AC69" i="31"/>
  <c r="AD69" i="31"/>
  <c r="AE69" i="31"/>
  <c r="AF69" i="31"/>
  <c r="AG69" i="31"/>
  <c r="AJ69" i="31"/>
  <c r="AK69" i="31"/>
  <c r="AL69" i="31"/>
  <c r="AM69" i="31"/>
  <c r="AN69" i="31"/>
  <c r="AO69" i="31"/>
  <c r="AP69" i="31"/>
  <c r="AQ69" i="31"/>
  <c r="AR69" i="31"/>
  <c r="AU69" i="31"/>
  <c r="AV69" i="31"/>
  <c r="AW69" i="31"/>
  <c r="AX69" i="31"/>
  <c r="AY69" i="31"/>
  <c r="AZ69" i="31"/>
  <c r="BA69" i="31"/>
  <c r="BB69" i="31"/>
  <c r="BC69" i="31"/>
  <c r="F70" i="31"/>
  <c r="G70" i="31"/>
  <c r="H70" i="31"/>
  <c r="I70" i="31"/>
  <c r="J70" i="31"/>
  <c r="M70" i="31"/>
  <c r="N70" i="31"/>
  <c r="O70" i="31"/>
  <c r="P70" i="31"/>
  <c r="Q70" i="31"/>
  <c r="R70" i="31"/>
  <c r="S70" i="31"/>
  <c r="T70" i="31"/>
  <c r="U70" i="31"/>
  <c r="Y70" i="31"/>
  <c r="Z70" i="31"/>
  <c r="AA70" i="31"/>
  <c r="AB70" i="31"/>
  <c r="AC70" i="31"/>
  <c r="AD70" i="31"/>
  <c r="AE70" i="31"/>
  <c r="AF70" i="31"/>
  <c r="AG70" i="31"/>
  <c r="AJ70" i="31"/>
  <c r="AK70" i="31"/>
  <c r="AL70" i="31"/>
  <c r="AM70" i="31"/>
  <c r="AN70" i="31"/>
  <c r="AO70" i="31"/>
  <c r="AP70" i="31"/>
  <c r="AQ70" i="31"/>
  <c r="AR70" i="31"/>
  <c r="AU70" i="31"/>
  <c r="AV70" i="31"/>
  <c r="AW70" i="31"/>
  <c r="AX70" i="31"/>
  <c r="AY70" i="31"/>
  <c r="AZ70" i="31"/>
  <c r="BA70" i="31"/>
  <c r="BB70" i="31"/>
  <c r="BC70" i="31"/>
  <c r="F71" i="31"/>
  <c r="G71" i="31"/>
  <c r="H71" i="31"/>
  <c r="I71" i="31"/>
  <c r="J71" i="31"/>
  <c r="M71" i="31"/>
  <c r="N71" i="31"/>
  <c r="O71" i="31"/>
  <c r="P71" i="31"/>
  <c r="Q71" i="31"/>
  <c r="R71" i="31"/>
  <c r="S71" i="31"/>
  <c r="T71" i="31"/>
  <c r="U71" i="31"/>
  <c r="X71" i="31"/>
  <c r="Y71" i="31"/>
  <c r="Z71" i="31"/>
  <c r="AA71" i="31"/>
  <c r="AB71" i="31"/>
  <c r="AC71" i="31"/>
  <c r="AD71" i="31"/>
  <c r="AE71" i="31"/>
  <c r="AF71" i="31"/>
  <c r="AG71" i="31"/>
  <c r="AI71" i="31"/>
  <c r="AJ71" i="31"/>
  <c r="AK71" i="31"/>
  <c r="AL71" i="31"/>
  <c r="AM71" i="31"/>
  <c r="AN71" i="31"/>
  <c r="AO71" i="31"/>
  <c r="AP71" i="31"/>
  <c r="AQ71" i="31"/>
  <c r="AR71" i="31"/>
  <c r="AT71" i="31"/>
  <c r="AU71" i="31"/>
  <c r="AV71" i="31"/>
  <c r="AW71" i="31"/>
  <c r="AX71" i="31"/>
  <c r="AY71" i="31"/>
  <c r="AZ71" i="31"/>
  <c r="BA71" i="31"/>
  <c r="BB71" i="31"/>
  <c r="BC71" i="31"/>
  <c r="F79" i="31"/>
  <c r="G79" i="31"/>
  <c r="H79" i="31"/>
  <c r="I79" i="31"/>
  <c r="J79" i="31"/>
  <c r="M79" i="31"/>
  <c r="N79" i="31"/>
  <c r="O79" i="31"/>
  <c r="P79" i="31"/>
  <c r="Q79" i="31"/>
  <c r="R79" i="31"/>
  <c r="S79" i="31"/>
  <c r="T79" i="31"/>
  <c r="U79" i="31"/>
  <c r="Y79" i="31"/>
  <c r="Z79" i="31"/>
  <c r="AA79" i="31"/>
  <c r="AB79" i="31"/>
  <c r="AC79" i="31"/>
  <c r="AD79" i="31"/>
  <c r="AE79" i="31"/>
  <c r="AF79" i="31"/>
  <c r="AG79" i="31"/>
  <c r="AJ79" i="31"/>
  <c r="AK79" i="31"/>
  <c r="AL79" i="31"/>
  <c r="AM79" i="31"/>
  <c r="AN79" i="31"/>
  <c r="AO79" i="31"/>
  <c r="AP79" i="31"/>
  <c r="AQ79" i="31"/>
  <c r="AR79" i="31"/>
  <c r="AU79" i="31"/>
  <c r="AV79" i="31"/>
  <c r="AW79" i="31"/>
  <c r="AX79" i="31"/>
  <c r="AY79" i="31"/>
  <c r="AZ79" i="31"/>
  <c r="BA79" i="31"/>
  <c r="BB79" i="31"/>
  <c r="BC79" i="31"/>
  <c r="F80" i="31"/>
  <c r="G80" i="31"/>
  <c r="H80" i="31"/>
  <c r="I80" i="31"/>
  <c r="J80" i="31"/>
  <c r="M80" i="31"/>
  <c r="N80" i="31"/>
  <c r="O80" i="31"/>
  <c r="P80" i="31"/>
  <c r="Q80" i="31"/>
  <c r="R80" i="31"/>
  <c r="S80" i="31"/>
  <c r="T80" i="31"/>
  <c r="U80" i="31"/>
  <c r="X80" i="31"/>
  <c r="Y80" i="31"/>
  <c r="Z80" i="31"/>
  <c r="AA80" i="31"/>
  <c r="AB80" i="31"/>
  <c r="AC80" i="31"/>
  <c r="AD80" i="31"/>
  <c r="AE80" i="31"/>
  <c r="AF80" i="31"/>
  <c r="AG80" i="31"/>
  <c r="AI80" i="31"/>
  <c r="AJ80" i="31"/>
  <c r="AK80" i="31"/>
  <c r="AL80" i="31"/>
  <c r="AM80" i="31"/>
  <c r="AN80" i="31"/>
  <c r="AO80" i="31"/>
  <c r="AP80" i="31"/>
  <c r="AQ80" i="31"/>
  <c r="AR80" i="31"/>
  <c r="AT80" i="31"/>
  <c r="AU80" i="31"/>
  <c r="AV80" i="31"/>
  <c r="AW80" i="31"/>
  <c r="AX80" i="31"/>
  <c r="AY80" i="31"/>
  <c r="AZ80" i="31"/>
  <c r="BA80" i="31"/>
  <c r="BB80" i="31"/>
  <c r="BC80" i="31"/>
  <c r="F82" i="31"/>
  <c r="G82" i="31"/>
  <c r="H82" i="31"/>
  <c r="I82" i="31"/>
  <c r="J82" i="31"/>
  <c r="M82" i="31"/>
  <c r="N82" i="31"/>
  <c r="O82" i="31"/>
  <c r="P82" i="31"/>
  <c r="Q82" i="31"/>
  <c r="R82" i="31"/>
  <c r="S82" i="31"/>
  <c r="T82" i="31"/>
  <c r="U82" i="31"/>
  <c r="X82" i="31"/>
  <c r="Y82" i="31"/>
  <c r="Z82" i="31"/>
  <c r="AA82" i="31"/>
  <c r="AB82" i="31"/>
  <c r="AC82" i="31"/>
  <c r="AD82" i="31"/>
  <c r="AE82" i="31"/>
  <c r="AF82" i="31"/>
  <c r="AG82" i="31"/>
  <c r="AI82" i="31"/>
  <c r="AJ82" i="31"/>
  <c r="AK82" i="31"/>
  <c r="AL82" i="31"/>
  <c r="AM82" i="31"/>
  <c r="AN82" i="31"/>
  <c r="AO82" i="31"/>
  <c r="AP82" i="31"/>
  <c r="AQ82" i="31"/>
  <c r="AR82" i="31"/>
  <c r="AT82" i="31"/>
  <c r="AU82" i="31"/>
  <c r="AV82" i="31"/>
  <c r="AW82" i="31"/>
  <c r="AX82" i="31"/>
  <c r="AY82" i="31"/>
  <c r="AZ82" i="31"/>
  <c r="BA82" i="31"/>
  <c r="BB82" i="31"/>
  <c r="BC82" i="31"/>
  <c r="F83" i="31"/>
  <c r="G83" i="31"/>
  <c r="H83" i="31"/>
  <c r="I83" i="31"/>
  <c r="J83" i="31"/>
  <c r="M85" i="31"/>
  <c r="N85" i="31"/>
  <c r="O85" i="31"/>
  <c r="P85" i="31"/>
  <c r="Q85" i="31"/>
  <c r="R85" i="31"/>
  <c r="S85" i="31"/>
  <c r="T85" i="31"/>
  <c r="U85" i="31"/>
  <c r="M87" i="31"/>
  <c r="N87" i="31"/>
  <c r="P87" i="31"/>
  <c r="T87" i="31"/>
  <c r="U87" i="31"/>
  <c r="D3" i="42"/>
  <c r="F3" i="42"/>
  <c r="G3" i="42"/>
  <c r="H3" i="42"/>
  <c r="I3" i="42"/>
  <c r="J3" i="42"/>
  <c r="K3" i="42"/>
  <c r="L3" i="42"/>
  <c r="M3" i="42"/>
  <c r="N3" i="42"/>
  <c r="O3" i="42"/>
  <c r="P3" i="42"/>
  <c r="Q3" i="42"/>
  <c r="R3" i="42"/>
  <c r="S3" i="42"/>
  <c r="T3" i="42"/>
  <c r="U3" i="42"/>
  <c r="V3" i="42"/>
  <c r="W3" i="42"/>
  <c r="X3" i="42"/>
  <c r="Y3" i="42"/>
  <c r="Z3" i="42"/>
  <c r="D4" i="42"/>
  <c r="H4" i="42"/>
  <c r="I4" i="42"/>
  <c r="J4" i="42"/>
  <c r="K4" i="42"/>
  <c r="L4" i="42"/>
  <c r="M4" i="42"/>
  <c r="N4" i="42"/>
  <c r="O4" i="42"/>
  <c r="P4" i="42"/>
  <c r="Q4" i="42"/>
  <c r="R4" i="42"/>
  <c r="S4" i="42"/>
  <c r="T4" i="42"/>
  <c r="U4" i="42"/>
  <c r="V4" i="42"/>
  <c r="W4" i="42"/>
  <c r="X4" i="42"/>
  <c r="Y4" i="42"/>
  <c r="Z4" i="42"/>
  <c r="D5" i="42"/>
  <c r="J5" i="42"/>
  <c r="K5" i="42"/>
  <c r="L5" i="42"/>
  <c r="M5" i="42"/>
  <c r="N5" i="42"/>
  <c r="O5" i="42"/>
  <c r="P5" i="42"/>
  <c r="Q5" i="42"/>
  <c r="R5" i="42"/>
  <c r="S5" i="42"/>
  <c r="T5" i="42"/>
  <c r="U5" i="42"/>
  <c r="V5" i="42"/>
  <c r="W5" i="42"/>
  <c r="X5" i="42"/>
  <c r="Y5" i="42"/>
  <c r="Z5" i="42"/>
  <c r="F6" i="42"/>
  <c r="G6" i="42"/>
  <c r="H6" i="42"/>
  <c r="I6" i="42"/>
  <c r="J6" i="42"/>
  <c r="K6" i="42"/>
  <c r="L6" i="42"/>
  <c r="M6" i="42"/>
  <c r="N6" i="42"/>
  <c r="O6" i="42"/>
  <c r="P6" i="42"/>
  <c r="Q6" i="42"/>
  <c r="R6" i="42"/>
  <c r="S6" i="42"/>
  <c r="T6" i="42"/>
  <c r="U6" i="42"/>
  <c r="V6" i="42"/>
  <c r="W6" i="42"/>
  <c r="X6" i="42"/>
  <c r="Y6" i="42"/>
  <c r="Z6" i="42"/>
  <c r="D8" i="42"/>
  <c r="D9" i="42"/>
  <c r="D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Z12" i="42"/>
  <c r="D13" i="42"/>
  <c r="H13" i="42"/>
  <c r="I13" i="42"/>
  <c r="J13" i="42"/>
  <c r="K13" i="42"/>
  <c r="L13" i="42"/>
  <c r="M13" i="42"/>
  <c r="N13" i="42"/>
  <c r="O13" i="42"/>
  <c r="P13" i="42"/>
  <c r="Q13" i="42"/>
  <c r="R13" i="42"/>
  <c r="S13" i="42"/>
  <c r="T13" i="42"/>
  <c r="U13" i="42"/>
  <c r="V13" i="42"/>
  <c r="W13" i="42"/>
  <c r="X13" i="42"/>
  <c r="Y13" i="42"/>
  <c r="Z13" i="42"/>
  <c r="D14" i="42"/>
  <c r="J14" i="42"/>
  <c r="K14" i="42"/>
  <c r="L14" i="42"/>
  <c r="M14" i="42"/>
  <c r="N14" i="42"/>
  <c r="O14" i="42"/>
  <c r="P14" i="42"/>
  <c r="Q14" i="42"/>
  <c r="R14" i="42"/>
  <c r="S14" i="42"/>
  <c r="T14" i="42"/>
  <c r="U14" i="42"/>
  <c r="V14" i="42"/>
  <c r="W14" i="42"/>
  <c r="X14" i="42"/>
  <c r="Y14" i="42"/>
  <c r="Z14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D17" i="42"/>
  <c r="D18" i="42"/>
  <c r="D21" i="42"/>
  <c r="F21" i="42"/>
  <c r="G21" i="42"/>
  <c r="H21" i="42"/>
  <c r="I21" i="42"/>
  <c r="J21" i="42"/>
  <c r="K21" i="42"/>
  <c r="L21" i="42"/>
  <c r="M21" i="42"/>
  <c r="N21" i="42"/>
  <c r="O21" i="42"/>
  <c r="P21" i="42"/>
  <c r="Q21" i="42"/>
  <c r="R21" i="42"/>
  <c r="S21" i="42"/>
  <c r="T21" i="42"/>
  <c r="U21" i="42"/>
  <c r="V21" i="42"/>
  <c r="W21" i="42"/>
  <c r="X21" i="42"/>
  <c r="Y21" i="42"/>
  <c r="Z21" i="42"/>
  <c r="D22" i="42"/>
  <c r="H22" i="42"/>
  <c r="I22" i="42"/>
  <c r="J22" i="42"/>
  <c r="K22" i="42"/>
  <c r="L22" i="42"/>
  <c r="M22" i="42"/>
  <c r="N22" i="42"/>
  <c r="O22" i="42"/>
  <c r="P22" i="42"/>
  <c r="Q22" i="42"/>
  <c r="R22" i="42"/>
  <c r="S22" i="42"/>
  <c r="T22" i="42"/>
  <c r="U22" i="42"/>
  <c r="V22" i="42"/>
  <c r="W22" i="42"/>
  <c r="X22" i="42"/>
  <c r="Y22" i="42"/>
  <c r="Z22" i="42"/>
  <c r="D23" i="42"/>
  <c r="J23" i="42"/>
  <c r="K23" i="42"/>
  <c r="L23" i="42"/>
  <c r="M23" i="42"/>
  <c r="N23" i="42"/>
  <c r="O23" i="42"/>
  <c r="P23" i="42"/>
  <c r="Q23" i="42"/>
  <c r="R23" i="42"/>
  <c r="S23" i="42"/>
  <c r="T23" i="42"/>
  <c r="U23" i="42"/>
  <c r="V23" i="42"/>
  <c r="W23" i="42"/>
  <c r="X23" i="42"/>
  <c r="Y23" i="42"/>
  <c r="Z23" i="42"/>
  <c r="F24" i="42"/>
  <c r="G24" i="42"/>
  <c r="H24" i="42"/>
  <c r="I24" i="42"/>
  <c r="J24" i="42"/>
  <c r="K24" i="42"/>
  <c r="L24" i="42"/>
  <c r="M24" i="42"/>
  <c r="N24" i="42"/>
  <c r="O24" i="42"/>
  <c r="P24" i="42"/>
  <c r="Q24" i="42"/>
  <c r="R24" i="42"/>
  <c r="S24" i="42"/>
  <c r="T24" i="42"/>
  <c r="U24" i="42"/>
  <c r="V24" i="42"/>
  <c r="W24" i="42"/>
  <c r="X24" i="42"/>
  <c r="Y24" i="42"/>
  <c r="Z24" i="42"/>
  <c r="D26" i="42"/>
  <c r="D27" i="42"/>
  <c r="D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D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D32" i="42"/>
  <c r="J32" i="42"/>
  <c r="K32" i="42"/>
  <c r="L32" i="42"/>
  <c r="M32" i="42"/>
  <c r="N32" i="42"/>
  <c r="O32" i="42"/>
  <c r="P32" i="42"/>
  <c r="Q32" i="42"/>
  <c r="R32" i="42"/>
  <c r="S32" i="42"/>
  <c r="T32" i="42"/>
  <c r="U32" i="42"/>
  <c r="V32" i="42"/>
  <c r="W32" i="42"/>
  <c r="X32" i="42"/>
  <c r="Y32" i="42"/>
  <c r="Z32" i="42"/>
  <c r="F33" i="42"/>
  <c r="G33" i="42"/>
  <c r="H33" i="42"/>
  <c r="I33" i="42"/>
  <c r="J33" i="42"/>
  <c r="K33" i="42"/>
  <c r="L33" i="42"/>
  <c r="M33" i="42"/>
  <c r="N33" i="42"/>
  <c r="O33" i="42"/>
  <c r="P33" i="42"/>
  <c r="Q33" i="42"/>
  <c r="R33" i="42"/>
  <c r="S33" i="42"/>
  <c r="T33" i="42"/>
  <c r="U33" i="42"/>
  <c r="V33" i="42"/>
  <c r="W33" i="42"/>
  <c r="X33" i="42"/>
  <c r="Y33" i="42"/>
  <c r="Z33" i="42"/>
  <c r="D35" i="42"/>
  <c r="D36" i="42"/>
  <c r="F39" i="42"/>
  <c r="G39" i="42"/>
  <c r="H39" i="42"/>
  <c r="I39" i="42"/>
  <c r="J39" i="42"/>
  <c r="K39" i="42"/>
  <c r="L39" i="42"/>
  <c r="M39" i="42"/>
  <c r="N39" i="42"/>
  <c r="O39" i="42"/>
  <c r="P39" i="42"/>
  <c r="Q39" i="42"/>
  <c r="R39" i="42"/>
  <c r="S39" i="42"/>
  <c r="T39" i="42"/>
  <c r="U39" i="42"/>
  <c r="V39" i="42"/>
  <c r="W39" i="42"/>
  <c r="X39" i="42"/>
  <c r="Y39" i="42"/>
  <c r="Z39" i="42"/>
  <c r="F40" i="42"/>
  <c r="G40" i="42"/>
  <c r="H40" i="42"/>
  <c r="I40" i="42"/>
  <c r="J40" i="42"/>
  <c r="K40" i="42"/>
  <c r="L40" i="42"/>
  <c r="M40" i="42"/>
  <c r="N40" i="42"/>
  <c r="O40" i="42"/>
  <c r="P40" i="42"/>
  <c r="Q40" i="42"/>
  <c r="R40" i="42"/>
  <c r="S40" i="42"/>
  <c r="T40" i="42"/>
  <c r="U40" i="42"/>
  <c r="V40" i="42"/>
  <c r="W40" i="42"/>
  <c r="X40" i="42"/>
  <c r="Y40" i="42"/>
  <c r="Z40" i="42"/>
  <c r="H41" i="42"/>
  <c r="I41" i="42"/>
  <c r="J41" i="42"/>
  <c r="K41" i="42"/>
  <c r="L41" i="42"/>
  <c r="M41" i="42"/>
  <c r="N41" i="42"/>
  <c r="O41" i="42"/>
  <c r="P41" i="42"/>
  <c r="Q41" i="42"/>
  <c r="R41" i="42"/>
  <c r="S41" i="42"/>
  <c r="T41" i="42"/>
  <c r="U41" i="42"/>
  <c r="V41" i="42"/>
  <c r="W41" i="42"/>
  <c r="X41" i="42"/>
  <c r="Y41" i="42"/>
  <c r="Z41" i="42"/>
  <c r="H42" i="42"/>
  <c r="I42" i="42"/>
  <c r="J42" i="42"/>
  <c r="K42" i="42"/>
  <c r="L42" i="42"/>
  <c r="M42" i="42"/>
  <c r="N42" i="42"/>
  <c r="O42" i="42"/>
  <c r="P42" i="42"/>
  <c r="Q42" i="42"/>
  <c r="R42" i="42"/>
  <c r="S42" i="42"/>
  <c r="T42" i="42"/>
  <c r="U42" i="42"/>
  <c r="V42" i="42"/>
  <c r="W42" i="42"/>
  <c r="X42" i="42"/>
  <c r="Y42" i="42"/>
  <c r="Z42" i="42"/>
  <c r="J43" i="42"/>
  <c r="K43" i="42"/>
  <c r="L43" i="42"/>
  <c r="M43" i="42"/>
  <c r="N43" i="42"/>
  <c r="O43" i="42"/>
  <c r="P43" i="42"/>
  <c r="Q43" i="42"/>
  <c r="R43" i="42"/>
  <c r="S43" i="42"/>
  <c r="T43" i="42"/>
  <c r="U43" i="42"/>
  <c r="V43" i="42"/>
  <c r="W43" i="42"/>
  <c r="X43" i="42"/>
  <c r="Y43" i="42"/>
  <c r="Z43" i="42"/>
  <c r="J44" i="42"/>
  <c r="K44" i="42"/>
  <c r="L44" i="42"/>
  <c r="M44" i="42"/>
  <c r="N44" i="42"/>
  <c r="O44" i="42"/>
  <c r="P44" i="42"/>
  <c r="Q44" i="42"/>
  <c r="R44" i="42"/>
  <c r="S44" i="42"/>
  <c r="T44" i="42"/>
  <c r="U44" i="42"/>
  <c r="V44" i="42"/>
  <c r="W44" i="42"/>
  <c r="X44" i="42"/>
  <c r="Y44" i="42"/>
  <c r="Z44" i="42"/>
  <c r="F45" i="42"/>
  <c r="G45" i="42"/>
  <c r="H45" i="42"/>
  <c r="I45" i="42"/>
  <c r="J45" i="42"/>
  <c r="K45" i="42"/>
  <c r="L45" i="42"/>
  <c r="M45" i="42"/>
  <c r="N45" i="42"/>
  <c r="O45" i="42"/>
  <c r="P45" i="42"/>
  <c r="Q45" i="42"/>
  <c r="R45" i="42"/>
  <c r="S45" i="42"/>
  <c r="T45" i="42"/>
  <c r="U45" i="42"/>
  <c r="V45" i="42"/>
  <c r="W45" i="42"/>
  <c r="X45" i="42"/>
  <c r="Y45" i="42"/>
  <c r="Z45" i="42"/>
  <c r="F46" i="42"/>
  <c r="G46" i="42"/>
  <c r="H46" i="42"/>
  <c r="I46" i="42"/>
  <c r="J46" i="42"/>
  <c r="K46" i="42"/>
  <c r="L46" i="42"/>
  <c r="M46" i="42"/>
  <c r="N46" i="42"/>
  <c r="O46" i="42"/>
  <c r="P46" i="42"/>
  <c r="Q46" i="42"/>
  <c r="R46" i="42"/>
  <c r="S46" i="42"/>
  <c r="T46" i="42"/>
  <c r="U46" i="42"/>
  <c r="V46" i="42"/>
  <c r="W46" i="42"/>
  <c r="X46" i="42"/>
  <c r="Y46" i="42"/>
  <c r="Z46" i="42"/>
  <c r="F48" i="42"/>
  <c r="G48" i="42"/>
  <c r="H48" i="42"/>
  <c r="I48" i="42"/>
  <c r="J48" i="42"/>
  <c r="K48" i="42"/>
  <c r="L48" i="42"/>
  <c r="M48" i="42"/>
  <c r="N48" i="42"/>
  <c r="O48" i="42"/>
  <c r="P48" i="42"/>
  <c r="Q48" i="42"/>
  <c r="R48" i="42"/>
  <c r="S48" i="42"/>
  <c r="T48" i="42"/>
  <c r="U48" i="42"/>
  <c r="V48" i="42"/>
  <c r="W48" i="42"/>
  <c r="X48" i="42"/>
  <c r="Y48" i="42"/>
  <c r="Z48" i="42"/>
  <c r="H49" i="42"/>
  <c r="I49" i="42"/>
  <c r="J49" i="42"/>
  <c r="K49" i="42"/>
  <c r="L49" i="42"/>
  <c r="M49" i="42"/>
  <c r="N49" i="42"/>
  <c r="O49" i="42"/>
  <c r="P49" i="42"/>
  <c r="Q49" i="42"/>
  <c r="R49" i="42"/>
  <c r="S49" i="42"/>
  <c r="T49" i="42"/>
  <c r="U49" i="42"/>
  <c r="V49" i="42"/>
  <c r="W49" i="42"/>
  <c r="X49" i="42"/>
  <c r="Y49" i="42"/>
  <c r="Z49" i="42"/>
  <c r="J50" i="42"/>
  <c r="K50" i="42"/>
  <c r="L50" i="42"/>
  <c r="M50" i="42"/>
  <c r="N50" i="42"/>
  <c r="O50" i="42"/>
  <c r="P50" i="42"/>
  <c r="Q50" i="42"/>
  <c r="R50" i="42"/>
  <c r="S50" i="42"/>
  <c r="T50" i="42"/>
  <c r="U50" i="42"/>
  <c r="V50" i="42"/>
  <c r="W50" i="42"/>
  <c r="X50" i="42"/>
  <c r="Y50" i="42"/>
  <c r="Z50" i="42"/>
  <c r="F51" i="42"/>
  <c r="G51" i="42"/>
  <c r="H51" i="42"/>
  <c r="I51" i="42"/>
  <c r="J51" i="42"/>
  <c r="K51" i="42"/>
  <c r="L51" i="42"/>
  <c r="M51" i="42"/>
  <c r="N51" i="42"/>
  <c r="O51" i="42"/>
  <c r="P51" i="42"/>
  <c r="Q51" i="42"/>
  <c r="R51" i="42"/>
  <c r="S51" i="42"/>
  <c r="T51" i="42"/>
  <c r="U51" i="42"/>
  <c r="V51" i="42"/>
  <c r="W51" i="42"/>
  <c r="X51" i="42"/>
  <c r="Y51" i="42"/>
  <c r="Z51" i="42"/>
  <c r="C55" i="42"/>
  <c r="D55" i="42"/>
  <c r="E55" i="42"/>
  <c r="C56" i="42"/>
  <c r="D56" i="42"/>
  <c r="E56" i="42"/>
  <c r="C57" i="42"/>
  <c r="D57" i="42"/>
  <c r="E57" i="42"/>
  <c r="C58" i="42"/>
  <c r="D58" i="42"/>
  <c r="E58" i="42"/>
  <c r="F3" i="39"/>
  <c r="G3" i="39"/>
  <c r="H3" i="39"/>
  <c r="I3" i="39"/>
  <c r="F4" i="39"/>
  <c r="G4" i="39"/>
  <c r="H4" i="39"/>
  <c r="E5" i="39"/>
  <c r="F5" i="39"/>
  <c r="G5" i="39"/>
  <c r="H5" i="39"/>
  <c r="J5" i="39"/>
  <c r="L5" i="39"/>
  <c r="N5" i="39"/>
  <c r="E6" i="39"/>
  <c r="F6" i="39"/>
  <c r="G6" i="39"/>
  <c r="H6" i="39"/>
  <c r="J6" i="39"/>
  <c r="L6" i="39"/>
  <c r="N6" i="39"/>
  <c r="E7" i="39"/>
  <c r="F7" i="39"/>
  <c r="G7" i="39"/>
  <c r="H7" i="39"/>
  <c r="J7" i="39"/>
  <c r="L7" i="39"/>
  <c r="N7" i="39"/>
  <c r="E8" i="39"/>
  <c r="F8" i="39"/>
  <c r="G8" i="39"/>
  <c r="H8" i="39"/>
  <c r="J8" i="39"/>
  <c r="L8" i="39"/>
  <c r="N8" i="39"/>
  <c r="E9" i="39"/>
  <c r="F9" i="39"/>
  <c r="G9" i="39"/>
  <c r="H9" i="39"/>
  <c r="J9" i="39"/>
  <c r="L9" i="39"/>
  <c r="N9" i="39"/>
  <c r="E10" i="39"/>
  <c r="F10" i="39"/>
  <c r="G10" i="39"/>
  <c r="H10" i="39"/>
  <c r="J10" i="39"/>
  <c r="L10" i="39"/>
  <c r="N10" i="39"/>
  <c r="E13" i="39"/>
  <c r="F13" i="39"/>
  <c r="G13" i="39"/>
  <c r="H13" i="39"/>
  <c r="E15" i="39"/>
  <c r="F15" i="39"/>
  <c r="G15" i="39"/>
  <c r="H15" i="39"/>
  <c r="I15" i="39"/>
  <c r="K15" i="39"/>
  <c r="M15" i="39"/>
  <c r="E16" i="39"/>
  <c r="F16" i="39"/>
  <c r="G16" i="39"/>
  <c r="H16" i="39"/>
  <c r="I16" i="39"/>
  <c r="K16" i="39"/>
  <c r="M16" i="39"/>
  <c r="E17" i="39"/>
  <c r="F17" i="39"/>
  <c r="G17" i="39"/>
  <c r="H17" i="39"/>
  <c r="I17" i="39"/>
  <c r="K17" i="39"/>
  <c r="M17" i="39"/>
  <c r="E18" i="39"/>
  <c r="F18" i="39"/>
  <c r="G18" i="39"/>
  <c r="H18" i="39"/>
  <c r="I18" i="39"/>
  <c r="K18" i="39"/>
  <c r="M18" i="39"/>
  <c r="E19" i="39"/>
  <c r="F19" i="39"/>
  <c r="G19" i="39"/>
  <c r="H19" i="39"/>
  <c r="I19" i="39"/>
  <c r="K19" i="39"/>
  <c r="M19" i="39"/>
  <c r="E20" i="39"/>
  <c r="F20" i="39"/>
  <c r="G20" i="39"/>
  <c r="H20" i="39"/>
  <c r="I20" i="39"/>
  <c r="K20" i="39"/>
  <c r="M20" i="39"/>
  <c r="F23" i="39"/>
  <c r="G23" i="39"/>
  <c r="H23" i="39"/>
  <c r="E26" i="39"/>
  <c r="F26" i="39"/>
  <c r="G26" i="39"/>
  <c r="H26" i="39"/>
  <c r="E28" i="39"/>
  <c r="F28" i="39"/>
  <c r="G28" i="39"/>
  <c r="H28" i="39"/>
  <c r="F30" i="39"/>
  <c r="G30" i="39"/>
  <c r="H30" i="39"/>
  <c r="E31" i="39"/>
  <c r="F31" i="39"/>
  <c r="G31" i="39"/>
  <c r="H31" i="39"/>
  <c r="J31" i="39"/>
  <c r="L31" i="39"/>
  <c r="N31" i="39"/>
  <c r="E34" i="39"/>
  <c r="F34" i="39"/>
  <c r="G34" i="39"/>
  <c r="H34" i="39"/>
  <c r="E36" i="39"/>
  <c r="F36" i="39"/>
  <c r="G36" i="39"/>
  <c r="H36" i="39"/>
  <c r="I36" i="39"/>
  <c r="K36" i="39"/>
  <c r="M36" i="39"/>
  <c r="F39" i="39"/>
  <c r="G39" i="39"/>
  <c r="H39" i="39"/>
  <c r="E42" i="39"/>
  <c r="F42" i="39"/>
  <c r="G42" i="39"/>
  <c r="H42" i="39"/>
  <c r="E44" i="39"/>
  <c r="F44" i="39"/>
  <c r="G44" i="39"/>
  <c r="H44" i="39"/>
  <c r="F46" i="39"/>
  <c r="G46" i="39"/>
  <c r="H46" i="39"/>
  <c r="E47" i="39"/>
  <c r="F47" i="39"/>
  <c r="G47" i="39"/>
  <c r="H47" i="39"/>
  <c r="J47" i="39"/>
  <c r="L47" i="39"/>
  <c r="N47" i="39"/>
  <c r="E50" i="39"/>
  <c r="F50" i="39"/>
  <c r="G50" i="39"/>
  <c r="H50" i="39"/>
  <c r="E52" i="39"/>
  <c r="F52" i="39"/>
  <c r="G52" i="39"/>
  <c r="H52" i="39"/>
  <c r="I52" i="39"/>
  <c r="K52" i="39"/>
  <c r="M52" i="39"/>
  <c r="F55" i="39"/>
  <c r="G55" i="39"/>
  <c r="H55" i="39"/>
  <c r="E58" i="39"/>
  <c r="F58" i="39"/>
  <c r="G58" i="39"/>
  <c r="H58" i="39"/>
  <c r="E60" i="39"/>
  <c r="F60" i="39"/>
  <c r="G60" i="39"/>
  <c r="H60" i="39"/>
  <c r="E62" i="39"/>
  <c r="F62" i="39"/>
  <c r="G62" i="39"/>
  <c r="H62" i="39"/>
  <c r="I62" i="39"/>
  <c r="K62" i="39"/>
  <c r="M62" i="39"/>
  <c r="E63" i="39"/>
  <c r="F63" i="39"/>
  <c r="G63" i="39"/>
  <c r="H63" i="39"/>
  <c r="J63" i="39"/>
  <c r="L63" i="39"/>
  <c r="N63" i="39"/>
  <c r="E64" i="39"/>
  <c r="F64" i="39"/>
  <c r="G64" i="39"/>
  <c r="H64" i="39"/>
  <c r="E68" i="39"/>
  <c r="F68" i="39"/>
  <c r="E69" i="39"/>
  <c r="F69" i="39"/>
  <c r="E70" i="39"/>
  <c r="F70" i="39"/>
  <c r="E71" i="39"/>
  <c r="F71" i="39"/>
  <c r="E72" i="39"/>
  <c r="F72" i="39"/>
  <c r="E73" i="39"/>
  <c r="F73" i="39"/>
  <c r="E74" i="39"/>
  <c r="F74" i="39"/>
  <c r="E75" i="39"/>
  <c r="F75" i="39"/>
  <c r="E76" i="39"/>
  <c r="F76" i="39"/>
  <c r="E79" i="39"/>
  <c r="F79" i="39"/>
  <c r="E80" i="39"/>
  <c r="F80" i="39"/>
  <c r="E81" i="39"/>
  <c r="F81" i="39"/>
  <c r="E82" i="39"/>
  <c r="F82" i="39"/>
  <c r="E83" i="39"/>
  <c r="F83" i="39"/>
  <c r="E84" i="39"/>
  <c r="F84" i="39"/>
  <c r="E85" i="39"/>
  <c r="F85" i="39"/>
  <c r="E86" i="39"/>
  <c r="F86" i="39"/>
  <c r="E89" i="39"/>
  <c r="E90" i="39"/>
  <c r="E91" i="39"/>
  <c r="E97" i="39"/>
  <c r="F97" i="39"/>
  <c r="E98" i="39"/>
  <c r="F98" i="39"/>
  <c r="E99" i="39"/>
  <c r="F99" i="39"/>
  <c r="E100" i="39"/>
  <c r="F100" i="39"/>
  <c r="E101" i="39"/>
  <c r="F101" i="39"/>
  <c r="E102" i="39"/>
  <c r="F102" i="39"/>
  <c r="E103" i="39"/>
  <c r="F103" i="39"/>
  <c r="E104" i="39"/>
  <c r="F104" i="39"/>
  <c r="E105" i="39"/>
  <c r="F105" i="39"/>
  <c r="E108" i="39"/>
  <c r="F108" i="39"/>
  <c r="E109" i="39"/>
  <c r="F109" i="39"/>
  <c r="E110" i="39"/>
  <c r="F110" i="39"/>
  <c r="E111" i="39"/>
  <c r="F111" i="39"/>
  <c r="E112" i="39"/>
  <c r="F112" i="39"/>
  <c r="E113" i="39"/>
  <c r="F113" i="39"/>
  <c r="E115" i="39"/>
  <c r="F115" i="39"/>
  <c r="E118" i="39"/>
  <c r="E119" i="39"/>
  <c r="E120" i="39"/>
  <c r="E126" i="39"/>
  <c r="F126" i="39"/>
  <c r="E127" i="39"/>
  <c r="F127" i="39"/>
  <c r="E128" i="39"/>
  <c r="F128" i="39"/>
  <c r="E129" i="39"/>
  <c r="F129" i="39"/>
  <c r="E130" i="39"/>
  <c r="F130" i="39"/>
  <c r="E131" i="39"/>
  <c r="F131" i="39"/>
  <c r="E132" i="39"/>
  <c r="F132" i="39"/>
  <c r="E133" i="39"/>
  <c r="F133" i="39"/>
  <c r="E134" i="39"/>
  <c r="F134" i="39"/>
  <c r="E137" i="39"/>
  <c r="F137" i="39"/>
  <c r="E138" i="39"/>
  <c r="F138" i="39"/>
  <c r="E139" i="39"/>
  <c r="F139" i="39"/>
  <c r="E140" i="39"/>
  <c r="F140" i="39"/>
  <c r="E142" i="39"/>
  <c r="F142" i="39"/>
  <c r="E144" i="39"/>
  <c r="F144" i="39"/>
  <c r="E147" i="39"/>
  <c r="E148" i="39"/>
  <c r="E149" i="39"/>
  <c r="E155" i="39"/>
  <c r="F155" i="39"/>
  <c r="E156" i="39"/>
  <c r="F156" i="39"/>
  <c r="E157" i="39"/>
  <c r="F157" i="39"/>
  <c r="E158" i="39"/>
  <c r="F158" i="39"/>
  <c r="E159" i="39"/>
  <c r="F159" i="39"/>
  <c r="E160" i="39"/>
  <c r="F160" i="39"/>
  <c r="E161" i="39"/>
  <c r="F161" i="39"/>
  <c r="E162" i="39"/>
  <c r="F162" i="39"/>
  <c r="E163" i="39"/>
  <c r="F163" i="39"/>
  <c r="E166" i="39"/>
  <c r="F166" i="39"/>
  <c r="E167" i="39"/>
  <c r="F167" i="39"/>
  <c r="E168" i="39"/>
  <c r="F168" i="39"/>
  <c r="E169" i="39"/>
  <c r="F169" i="39"/>
  <c r="E170" i="39"/>
  <c r="F170" i="39"/>
  <c r="E171" i="39"/>
  <c r="F171" i="39"/>
  <c r="E172" i="39"/>
  <c r="F172" i="39"/>
  <c r="E173" i="39"/>
  <c r="F173" i="39"/>
  <c r="E176" i="39"/>
  <c r="E177" i="39"/>
  <c r="E178" i="39"/>
  <c r="D9" i="28"/>
  <c r="E9" i="28"/>
  <c r="F9" i="28"/>
  <c r="G9" i="28"/>
  <c r="H9" i="28"/>
  <c r="I9" i="28"/>
  <c r="J9" i="28"/>
  <c r="K9" i="28"/>
  <c r="L9" i="28"/>
  <c r="M9" i="28"/>
  <c r="N9" i="28"/>
  <c r="D12" i="28"/>
  <c r="E12" i="28"/>
  <c r="F12" i="28"/>
  <c r="G12" i="28"/>
  <c r="H12" i="28"/>
  <c r="I12" i="28"/>
  <c r="J12" i="28"/>
  <c r="K12" i="28"/>
  <c r="L12" i="28"/>
  <c r="M12" i="28"/>
  <c r="N12" i="28"/>
  <c r="D14" i="28"/>
  <c r="E14" i="28"/>
  <c r="F14" i="28"/>
  <c r="G14" i="28"/>
  <c r="H14" i="28"/>
  <c r="I14" i="28"/>
  <c r="J14" i="28"/>
  <c r="K14" i="28"/>
  <c r="L14" i="28"/>
  <c r="M14" i="28"/>
  <c r="N14" i="28"/>
  <c r="D15" i="28"/>
  <c r="E15" i="28"/>
  <c r="F15" i="28"/>
  <c r="G15" i="28"/>
  <c r="H15" i="28"/>
  <c r="I15" i="28"/>
  <c r="J15" i="28"/>
  <c r="K15" i="28"/>
  <c r="L15" i="28"/>
  <c r="M15" i="28"/>
  <c r="N15" i="28"/>
  <c r="D16" i="28"/>
  <c r="E16" i="28"/>
  <c r="F16" i="28"/>
  <c r="G16" i="28"/>
  <c r="H16" i="28"/>
  <c r="I16" i="28"/>
  <c r="J16" i="28"/>
  <c r="K16" i="28"/>
  <c r="L16" i="28"/>
  <c r="M16" i="28"/>
  <c r="N16" i="28"/>
  <c r="D17" i="28"/>
  <c r="E17" i="28"/>
  <c r="F17" i="28"/>
  <c r="G17" i="28"/>
  <c r="H17" i="28"/>
  <c r="I17" i="28"/>
  <c r="J17" i="28"/>
  <c r="K17" i="28"/>
  <c r="L17" i="28"/>
  <c r="M17" i="28"/>
  <c r="N17" i="28"/>
  <c r="D18" i="28"/>
  <c r="E18" i="28"/>
  <c r="F18" i="28"/>
  <c r="G18" i="28"/>
  <c r="H18" i="28"/>
  <c r="I18" i="28"/>
  <c r="J18" i="28"/>
  <c r="K18" i="28"/>
  <c r="L18" i="28"/>
  <c r="M18" i="28"/>
  <c r="N18" i="28"/>
  <c r="D20" i="28"/>
  <c r="E20" i="28"/>
  <c r="F20" i="28"/>
  <c r="G20" i="28"/>
  <c r="H20" i="28"/>
  <c r="I20" i="28"/>
  <c r="J20" i="28"/>
  <c r="K20" i="28"/>
  <c r="L20" i="28"/>
  <c r="M20" i="28"/>
  <c r="N20" i="28"/>
  <c r="D23" i="28"/>
  <c r="E23" i="28"/>
  <c r="F23" i="28"/>
  <c r="G23" i="28"/>
  <c r="H23" i="28"/>
  <c r="I23" i="28"/>
  <c r="J23" i="28"/>
  <c r="K23" i="28"/>
  <c r="L23" i="28"/>
  <c r="D25" i="28"/>
  <c r="E25" i="28"/>
  <c r="F25" i="28"/>
  <c r="G25" i="28"/>
  <c r="H25" i="28"/>
  <c r="I25" i="28"/>
  <c r="J25" i="28"/>
  <c r="K25" i="28"/>
  <c r="L25" i="28"/>
  <c r="M25" i="28"/>
  <c r="N25" i="28"/>
  <c r="N26" i="28"/>
  <c r="N27" i="28"/>
  <c r="D28" i="28"/>
  <c r="E28" i="28"/>
  <c r="F28" i="28"/>
  <c r="G28" i="28"/>
  <c r="H28" i="28"/>
  <c r="I28" i="28"/>
  <c r="J28" i="28"/>
  <c r="K28" i="28"/>
  <c r="L28" i="28"/>
  <c r="M28" i="28"/>
  <c r="N28" i="28"/>
  <c r="D47" i="28"/>
  <c r="E47" i="28"/>
  <c r="F47" i="28"/>
  <c r="G47" i="28"/>
  <c r="H47" i="28"/>
  <c r="I47" i="28"/>
  <c r="J47" i="28"/>
  <c r="D48" i="28"/>
  <c r="E48" i="28"/>
  <c r="F48" i="28"/>
  <c r="G48" i="28"/>
  <c r="H48" i="28"/>
  <c r="I48" i="28"/>
  <c r="J48" i="28"/>
  <c r="D49" i="28"/>
  <c r="E49" i="28"/>
  <c r="F49" i="28"/>
  <c r="G49" i="28"/>
  <c r="H49" i="28"/>
  <c r="I49" i="28"/>
  <c r="J49" i="28"/>
  <c r="K49" i="28"/>
  <c r="L49" i="28"/>
  <c r="M49" i="28"/>
  <c r="N49" i="28"/>
  <c r="D50" i="28"/>
  <c r="E50" i="28"/>
  <c r="F50" i="28"/>
  <c r="G50" i="28"/>
  <c r="H50" i="28"/>
  <c r="I50" i="28"/>
  <c r="J50" i="28"/>
  <c r="K50" i="28"/>
  <c r="L50" i="28"/>
  <c r="M50" i="28"/>
  <c r="N50" i="28"/>
  <c r="E51" i="28"/>
  <c r="F51" i="28"/>
  <c r="G51" i="28"/>
  <c r="H51" i="28"/>
  <c r="I51" i="28"/>
  <c r="J51" i="28"/>
  <c r="D52" i="28"/>
  <c r="E52" i="28"/>
  <c r="F52" i="28"/>
  <c r="G52" i="28"/>
  <c r="H52" i="28"/>
  <c r="I52" i="28"/>
  <c r="J52" i="28"/>
  <c r="K52" i="28"/>
  <c r="L52" i="28"/>
  <c r="M52" i="28"/>
  <c r="N52" i="28"/>
  <c r="D55" i="28"/>
  <c r="E55" i="28"/>
  <c r="F55" i="28"/>
  <c r="G55" i="28"/>
  <c r="H55" i="28"/>
  <c r="I55" i="28"/>
  <c r="J55" i="28"/>
  <c r="K55" i="28"/>
  <c r="L55" i="28"/>
  <c r="M55" i="28"/>
  <c r="N55" i="28"/>
  <c r="N56" i="28"/>
  <c r="N57" i="28"/>
  <c r="D58" i="28"/>
  <c r="E58" i="28"/>
  <c r="F58" i="28"/>
  <c r="G58" i="28"/>
  <c r="H58" i="28"/>
  <c r="I58" i="28"/>
  <c r="J58" i="28"/>
  <c r="K58" i="28"/>
  <c r="L58" i="28"/>
  <c r="M58" i="28"/>
  <c r="N58" i="28"/>
  <c r="D59" i="28"/>
  <c r="E59" i="28"/>
  <c r="F59" i="28"/>
  <c r="G59" i="28"/>
  <c r="H59" i="28"/>
  <c r="I59" i="28"/>
  <c r="J59" i="28"/>
  <c r="K59" i="28"/>
  <c r="L59" i="28"/>
  <c r="M59" i="28"/>
  <c r="N59" i="28"/>
  <c r="E60" i="28"/>
  <c r="F60" i="28"/>
  <c r="G60" i="28"/>
  <c r="H60" i="28"/>
  <c r="I60" i="28"/>
  <c r="J60" i="28"/>
  <c r="D61" i="28"/>
  <c r="E61" i="28"/>
  <c r="F61" i="28"/>
  <c r="G61" i="28"/>
  <c r="H61" i="28"/>
  <c r="I61" i="28"/>
  <c r="J61" i="28"/>
  <c r="K61" i="28"/>
  <c r="L61" i="28"/>
  <c r="M61" i="28"/>
  <c r="N61" i="28"/>
  <c r="D62" i="28"/>
  <c r="E62" i="28"/>
  <c r="F62" i="28"/>
  <c r="G62" i="28"/>
  <c r="H62" i="28"/>
  <c r="I62" i="28"/>
  <c r="J62" i="28"/>
  <c r="K62" i="28"/>
  <c r="L62" i="28"/>
  <c r="M62" i="28"/>
  <c r="N62" i="28"/>
  <c r="D63" i="28"/>
  <c r="E63" i="28"/>
  <c r="F63" i="28"/>
  <c r="G63" i="28"/>
  <c r="H63" i="28"/>
  <c r="I63" i="28"/>
  <c r="J63" i="28"/>
  <c r="K63" i="28"/>
  <c r="L63" i="28"/>
  <c r="M63" i="28"/>
  <c r="N63" i="28"/>
  <c r="D64" i="28"/>
  <c r="E64" i="28"/>
  <c r="F64" i="28"/>
  <c r="G64" i="28"/>
  <c r="H64" i="28"/>
  <c r="I64" i="28"/>
  <c r="J64" i="28"/>
  <c r="K64" i="28"/>
  <c r="L64" i="28"/>
  <c r="M64" i="28"/>
  <c r="N64" i="28"/>
  <c r="D66" i="28"/>
  <c r="D67" i="28"/>
  <c r="D68" i="28"/>
  <c r="J68" i="28"/>
  <c r="D69" i="28"/>
  <c r="D70" i="28"/>
  <c r="J70" i="28"/>
  <c r="E110" i="28"/>
  <c r="G110" i="28"/>
  <c r="K111" i="28"/>
  <c r="M111" i="28"/>
  <c r="E113" i="28"/>
  <c r="G113" i="28"/>
  <c r="E115" i="28"/>
  <c r="G115" i="28"/>
  <c r="E116" i="28"/>
  <c r="G116" i="28"/>
  <c r="E117" i="28"/>
  <c r="G117" i="28"/>
  <c r="K117" i="28"/>
  <c r="E118" i="28"/>
  <c r="G118" i="28"/>
  <c r="M118" i="28"/>
  <c r="E119" i="28"/>
  <c r="G119" i="28"/>
  <c r="M119" i="28"/>
  <c r="E120" i="28"/>
  <c r="G120" i="28"/>
  <c r="M120" i="28"/>
  <c r="K126" i="28"/>
  <c r="M126" i="28"/>
  <c r="F132" i="28"/>
  <c r="K132" i="28"/>
  <c r="M132" i="28"/>
  <c r="G38" i="43"/>
  <c r="F23" i="38"/>
  <c r="G23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T23" i="38"/>
  <c r="U23" i="38"/>
  <c r="V23" i="38"/>
  <c r="W23" i="38"/>
  <c r="X23" i="38"/>
  <c r="Y23" i="38"/>
  <c r="Z23" i="38"/>
  <c r="F24" i="38"/>
  <c r="G24" i="38"/>
  <c r="H24" i="38"/>
  <c r="I24" i="38"/>
  <c r="J24" i="38"/>
  <c r="K24" i="38"/>
  <c r="L24" i="38"/>
  <c r="M24" i="38"/>
  <c r="N24" i="38"/>
  <c r="O24" i="38"/>
  <c r="P24" i="38"/>
  <c r="Q24" i="38"/>
  <c r="R24" i="38"/>
  <c r="S24" i="38"/>
  <c r="T24" i="38"/>
  <c r="U24" i="38"/>
  <c r="V24" i="38"/>
  <c r="W24" i="38"/>
  <c r="X24" i="38"/>
  <c r="Y24" i="38"/>
  <c r="Z24" i="38"/>
  <c r="F26" i="38"/>
  <c r="G26" i="38"/>
  <c r="H26" i="38"/>
  <c r="I26" i="38"/>
  <c r="J26" i="38"/>
  <c r="K26" i="38"/>
  <c r="L26" i="38"/>
  <c r="M26" i="38"/>
  <c r="N26" i="38"/>
  <c r="O26" i="38"/>
  <c r="P26" i="38"/>
  <c r="Q26" i="38"/>
  <c r="R26" i="38"/>
  <c r="S26" i="38"/>
  <c r="T26" i="38"/>
  <c r="U26" i="38"/>
  <c r="V26" i="38"/>
  <c r="W26" i="38"/>
  <c r="X26" i="38"/>
  <c r="Y26" i="38"/>
  <c r="Z26" i="38"/>
  <c r="F27" i="38"/>
  <c r="G27" i="38"/>
  <c r="H27" i="38"/>
  <c r="I27" i="38"/>
  <c r="J27" i="38"/>
  <c r="K27" i="38"/>
  <c r="L27" i="38"/>
  <c r="M27" i="38"/>
  <c r="N27" i="38"/>
  <c r="O27" i="38"/>
  <c r="P27" i="38"/>
  <c r="Q27" i="38"/>
  <c r="R27" i="38"/>
  <c r="S27" i="38"/>
  <c r="T27" i="38"/>
  <c r="U27" i="38"/>
  <c r="V27" i="38"/>
  <c r="W27" i="38"/>
  <c r="X27" i="38"/>
  <c r="Y27" i="38"/>
  <c r="Z27" i="38"/>
  <c r="F28" i="38"/>
  <c r="G28" i="38"/>
  <c r="H28" i="38"/>
  <c r="I28" i="38"/>
  <c r="J28" i="38"/>
  <c r="K28" i="38"/>
  <c r="L28" i="38"/>
  <c r="M28" i="38"/>
  <c r="N28" i="38"/>
  <c r="O28" i="38"/>
  <c r="P28" i="38"/>
  <c r="Q28" i="38"/>
  <c r="R28" i="38"/>
  <c r="S28" i="38"/>
  <c r="T28" i="38"/>
  <c r="U28" i="38"/>
  <c r="V28" i="38"/>
  <c r="W28" i="38"/>
  <c r="X28" i="38"/>
  <c r="Y28" i="38"/>
  <c r="Z28" i="38"/>
  <c r="F46" i="38"/>
  <c r="G46" i="38"/>
  <c r="H46" i="38"/>
  <c r="I46" i="38"/>
  <c r="J46" i="38"/>
  <c r="K46" i="38"/>
  <c r="L46" i="38"/>
  <c r="M46" i="38"/>
  <c r="N46" i="38"/>
  <c r="O46" i="38"/>
  <c r="P46" i="38"/>
  <c r="Q46" i="38"/>
  <c r="R46" i="38"/>
  <c r="S46" i="38"/>
  <c r="T46" i="38"/>
  <c r="U46" i="38"/>
  <c r="V46" i="38"/>
  <c r="W46" i="38"/>
  <c r="X46" i="38"/>
  <c r="Y46" i="38"/>
  <c r="Z46" i="38"/>
  <c r="F47" i="38"/>
  <c r="G47" i="38"/>
  <c r="H47" i="38"/>
  <c r="I47" i="38"/>
  <c r="J47" i="38"/>
  <c r="K47" i="38"/>
  <c r="L47" i="38"/>
  <c r="M47" i="38"/>
  <c r="N47" i="38"/>
  <c r="O47" i="38"/>
  <c r="P47" i="38"/>
  <c r="Q47" i="38"/>
  <c r="R47" i="38"/>
  <c r="S47" i="38"/>
  <c r="T47" i="38"/>
  <c r="U47" i="38"/>
  <c r="V47" i="38"/>
  <c r="W47" i="38"/>
  <c r="X47" i="38"/>
  <c r="Y47" i="38"/>
  <c r="Z47" i="38"/>
  <c r="F49" i="38"/>
  <c r="G49" i="38"/>
  <c r="H49" i="38"/>
  <c r="I49" i="38"/>
  <c r="J49" i="38"/>
  <c r="K49" i="38"/>
  <c r="L49" i="38"/>
  <c r="M49" i="38"/>
  <c r="N49" i="38"/>
  <c r="O49" i="38"/>
  <c r="P49" i="38"/>
  <c r="Q49" i="38"/>
  <c r="R49" i="38"/>
  <c r="S49" i="38"/>
  <c r="T49" i="38"/>
  <c r="U49" i="38"/>
  <c r="V49" i="38"/>
  <c r="W49" i="38"/>
  <c r="X49" i="38"/>
  <c r="Y49" i="38"/>
  <c r="Z49" i="38"/>
  <c r="F50" i="38"/>
  <c r="G50" i="38"/>
  <c r="H50" i="38"/>
  <c r="I50" i="38"/>
  <c r="J50" i="38"/>
  <c r="K50" i="38"/>
  <c r="L50" i="38"/>
  <c r="M50" i="38"/>
  <c r="N50" i="38"/>
  <c r="O50" i="38"/>
  <c r="P50" i="38"/>
  <c r="Q50" i="38"/>
  <c r="R50" i="38"/>
  <c r="S50" i="38"/>
  <c r="T50" i="38"/>
  <c r="U50" i="38"/>
  <c r="V50" i="38"/>
  <c r="W50" i="38"/>
  <c r="X50" i="38"/>
  <c r="Y50" i="38"/>
  <c r="Z50" i="38"/>
  <c r="F51" i="38"/>
  <c r="G51" i="38"/>
  <c r="H51" i="38"/>
  <c r="I51" i="38"/>
  <c r="J51" i="38"/>
  <c r="K51" i="38"/>
  <c r="L51" i="38"/>
  <c r="M51" i="38"/>
  <c r="N51" i="38"/>
  <c r="O51" i="38"/>
  <c r="P51" i="38"/>
  <c r="Q51" i="38"/>
  <c r="R51" i="38"/>
  <c r="S51" i="38"/>
  <c r="T51" i="38"/>
  <c r="U51" i="38"/>
  <c r="V51" i="38"/>
  <c r="W51" i="38"/>
  <c r="X51" i="38"/>
  <c r="Y51" i="38"/>
  <c r="Z51" i="38"/>
  <c r="F63" i="38"/>
  <c r="G63" i="38"/>
  <c r="H63" i="38"/>
  <c r="I63" i="38"/>
  <c r="J63" i="38"/>
  <c r="K63" i="38"/>
  <c r="L63" i="38"/>
  <c r="M63" i="38"/>
  <c r="N63" i="38"/>
  <c r="O63" i="38"/>
  <c r="P63" i="38"/>
  <c r="Q63" i="38"/>
  <c r="R63" i="38"/>
  <c r="S63" i="38"/>
  <c r="T63" i="38"/>
  <c r="U63" i="38"/>
  <c r="V63" i="38"/>
  <c r="W63" i="38"/>
  <c r="X63" i="38"/>
  <c r="Y63" i="38"/>
  <c r="Z63" i="38"/>
  <c r="F64" i="38"/>
  <c r="G64" i="38"/>
  <c r="H64" i="38"/>
  <c r="I64" i="38"/>
  <c r="J64" i="38"/>
  <c r="K64" i="38"/>
  <c r="L64" i="38"/>
  <c r="M64" i="38"/>
  <c r="N64" i="38"/>
  <c r="O64" i="38"/>
  <c r="P64" i="38"/>
  <c r="Q64" i="38"/>
  <c r="R64" i="38"/>
  <c r="S64" i="38"/>
  <c r="T64" i="38"/>
  <c r="U64" i="38"/>
  <c r="V64" i="38"/>
  <c r="W64" i="38"/>
  <c r="X64" i="38"/>
  <c r="Y64" i="38"/>
  <c r="Z64" i="38"/>
  <c r="F67" i="38"/>
  <c r="G67" i="38"/>
  <c r="H67" i="38"/>
  <c r="I67" i="38"/>
  <c r="J67" i="38"/>
  <c r="K67" i="38"/>
  <c r="L67" i="38"/>
  <c r="M67" i="38"/>
  <c r="N67" i="38"/>
  <c r="O67" i="38"/>
  <c r="P67" i="38"/>
  <c r="Q67" i="38"/>
  <c r="R67" i="38"/>
  <c r="S67" i="38"/>
  <c r="T67" i="38"/>
  <c r="U67" i="38"/>
  <c r="V67" i="38"/>
  <c r="W67" i="38"/>
  <c r="X67" i="38"/>
  <c r="Y67" i="38"/>
  <c r="Z67" i="38"/>
  <c r="F68" i="38"/>
  <c r="G68" i="38"/>
  <c r="H68" i="38"/>
  <c r="I68" i="38"/>
  <c r="J68" i="38"/>
  <c r="K68" i="38"/>
  <c r="L68" i="38"/>
  <c r="M68" i="38"/>
  <c r="N68" i="38"/>
  <c r="O68" i="38"/>
  <c r="P68" i="38"/>
  <c r="Q68" i="38"/>
  <c r="R68" i="38"/>
  <c r="S68" i="38"/>
  <c r="T68" i="38"/>
  <c r="U68" i="38"/>
  <c r="V68" i="38"/>
  <c r="W68" i="38"/>
  <c r="X68" i="38"/>
  <c r="Y68" i="38"/>
  <c r="Z68" i="38"/>
  <c r="F70" i="38"/>
  <c r="G70" i="38"/>
  <c r="H70" i="38"/>
  <c r="I70" i="38"/>
  <c r="J70" i="38"/>
  <c r="K70" i="38"/>
  <c r="L70" i="38"/>
  <c r="M70" i="38"/>
  <c r="N70" i="38"/>
  <c r="O70" i="38"/>
  <c r="P70" i="38"/>
  <c r="Q70" i="38"/>
  <c r="R70" i="38"/>
  <c r="S70" i="38"/>
  <c r="T70" i="38"/>
  <c r="U70" i="38"/>
  <c r="V70" i="38"/>
  <c r="W70" i="38"/>
  <c r="X70" i="38"/>
  <c r="Y70" i="38"/>
  <c r="Z70" i="38"/>
  <c r="F71" i="38"/>
  <c r="G71" i="38"/>
  <c r="H71" i="38"/>
  <c r="I71" i="38"/>
  <c r="J71" i="38"/>
  <c r="K71" i="38"/>
  <c r="L71" i="38"/>
  <c r="M71" i="38"/>
  <c r="N71" i="38"/>
  <c r="O71" i="38"/>
  <c r="P71" i="38"/>
  <c r="Q71" i="38"/>
  <c r="R71" i="38"/>
  <c r="S71" i="38"/>
  <c r="T71" i="38"/>
  <c r="U71" i="38"/>
  <c r="V71" i="38"/>
  <c r="W71" i="38"/>
  <c r="X71" i="38"/>
  <c r="Y71" i="38"/>
  <c r="Z71" i="38"/>
  <c r="F72" i="38"/>
  <c r="G72" i="38"/>
  <c r="H72" i="38"/>
  <c r="I72" i="38"/>
  <c r="J72" i="38"/>
  <c r="K72" i="38"/>
  <c r="L72" i="38"/>
  <c r="M72" i="38"/>
  <c r="N72" i="38"/>
  <c r="O72" i="38"/>
  <c r="P72" i="38"/>
  <c r="Q72" i="38"/>
  <c r="R72" i="38"/>
  <c r="S72" i="38"/>
  <c r="T72" i="38"/>
  <c r="U72" i="38"/>
  <c r="V72" i="38"/>
  <c r="W72" i="38"/>
  <c r="X72" i="38"/>
  <c r="Y72" i="38"/>
  <c r="Z72" i="38"/>
  <c r="F84" i="38"/>
  <c r="G84" i="38"/>
  <c r="H84" i="38"/>
  <c r="I84" i="38"/>
  <c r="J84" i="38"/>
  <c r="K84" i="38"/>
  <c r="L84" i="38"/>
  <c r="M84" i="38"/>
  <c r="N84" i="38"/>
  <c r="O84" i="38"/>
  <c r="P84" i="38"/>
  <c r="Q84" i="38"/>
  <c r="R84" i="38"/>
  <c r="S84" i="38"/>
  <c r="T84" i="38"/>
  <c r="U84" i="38"/>
  <c r="V84" i="38"/>
  <c r="W84" i="38"/>
  <c r="X84" i="38"/>
  <c r="Y84" i="38"/>
  <c r="Z84" i="38"/>
  <c r="F85" i="38"/>
  <c r="G85" i="38"/>
  <c r="H85" i="38"/>
  <c r="I85" i="38"/>
  <c r="J85" i="38"/>
  <c r="K85" i="38"/>
  <c r="L85" i="38"/>
  <c r="M85" i="38"/>
  <c r="N85" i="38"/>
  <c r="O85" i="38"/>
  <c r="P85" i="38"/>
  <c r="Q85" i="38"/>
  <c r="R85" i="38"/>
  <c r="S85" i="38"/>
  <c r="T85" i="38"/>
  <c r="U85" i="38"/>
  <c r="V85" i="38"/>
  <c r="W85" i="38"/>
  <c r="X85" i="38"/>
  <c r="Y85" i="38"/>
  <c r="Z85" i="38"/>
  <c r="F88" i="38"/>
  <c r="G88" i="38"/>
  <c r="H88" i="38"/>
  <c r="I88" i="38"/>
  <c r="J88" i="38"/>
  <c r="K88" i="38"/>
  <c r="L88" i="38"/>
  <c r="M88" i="38"/>
  <c r="N88" i="38"/>
  <c r="O88" i="38"/>
  <c r="P88" i="38"/>
  <c r="Q88" i="38"/>
  <c r="R88" i="38"/>
  <c r="S88" i="38"/>
  <c r="T88" i="38"/>
  <c r="U88" i="38"/>
  <c r="V88" i="38"/>
  <c r="W88" i="38"/>
  <c r="X88" i="38"/>
  <c r="Y88" i="38"/>
  <c r="Z88" i="38"/>
  <c r="F89" i="38"/>
  <c r="G89" i="38"/>
  <c r="H89" i="38"/>
  <c r="I89" i="38"/>
  <c r="J89" i="38"/>
  <c r="K89" i="38"/>
  <c r="L89" i="38"/>
  <c r="M89" i="38"/>
  <c r="N89" i="38"/>
  <c r="O89" i="38"/>
  <c r="P89" i="38"/>
  <c r="Q89" i="38"/>
  <c r="R89" i="38"/>
  <c r="S89" i="38"/>
  <c r="T89" i="38"/>
  <c r="U89" i="38"/>
  <c r="V89" i="38"/>
  <c r="W89" i="38"/>
  <c r="X89" i="38"/>
  <c r="Y89" i="38"/>
  <c r="Z89" i="38"/>
  <c r="F91" i="38"/>
  <c r="G91" i="38"/>
  <c r="H91" i="38"/>
  <c r="I91" i="38"/>
  <c r="J91" i="38"/>
  <c r="K91" i="38"/>
  <c r="L91" i="38"/>
  <c r="M91" i="38"/>
  <c r="N91" i="38"/>
  <c r="O91" i="38"/>
  <c r="P91" i="38"/>
  <c r="Q91" i="38"/>
  <c r="R91" i="38"/>
  <c r="S91" i="38"/>
  <c r="T91" i="38"/>
  <c r="U91" i="38"/>
  <c r="V91" i="38"/>
  <c r="W91" i="38"/>
  <c r="X91" i="38"/>
  <c r="Y91" i="38"/>
  <c r="Z91" i="38"/>
  <c r="F92" i="38"/>
  <c r="G92" i="38"/>
  <c r="H92" i="38"/>
  <c r="I92" i="38"/>
  <c r="J92" i="38"/>
  <c r="K92" i="38"/>
  <c r="L92" i="38"/>
  <c r="M92" i="38"/>
  <c r="N92" i="38"/>
  <c r="O92" i="38"/>
  <c r="P92" i="38"/>
  <c r="Q92" i="38"/>
  <c r="R92" i="38"/>
  <c r="S92" i="38"/>
  <c r="T92" i="38"/>
  <c r="U92" i="38"/>
  <c r="V92" i="38"/>
  <c r="W92" i="38"/>
  <c r="X92" i="38"/>
  <c r="Y92" i="38"/>
  <c r="Z92" i="38"/>
  <c r="F93" i="38"/>
  <c r="G93" i="38"/>
  <c r="H93" i="38"/>
  <c r="I93" i="38"/>
  <c r="J93" i="38"/>
  <c r="K93" i="38"/>
  <c r="L93" i="38"/>
  <c r="M93" i="38"/>
  <c r="N93" i="38"/>
  <c r="O93" i="38"/>
  <c r="P93" i="38"/>
  <c r="Q93" i="38"/>
  <c r="R93" i="38"/>
  <c r="S93" i="38"/>
  <c r="T93" i="38"/>
  <c r="U93" i="38"/>
  <c r="V93" i="38"/>
  <c r="W93" i="38"/>
  <c r="X93" i="38"/>
  <c r="Y93" i="38"/>
  <c r="Z93" i="38"/>
  <c r="F105" i="38"/>
  <c r="G105" i="38"/>
  <c r="H105" i="38"/>
  <c r="I105" i="38"/>
  <c r="J105" i="38"/>
  <c r="K105" i="38"/>
  <c r="L105" i="38"/>
  <c r="M105" i="38"/>
  <c r="N105" i="38"/>
  <c r="O105" i="38"/>
  <c r="P105" i="38"/>
  <c r="Q105" i="38"/>
  <c r="R105" i="38"/>
  <c r="S105" i="38"/>
  <c r="T105" i="38"/>
  <c r="U105" i="38"/>
  <c r="V105" i="38"/>
  <c r="W105" i="38"/>
  <c r="X105" i="38"/>
  <c r="Y105" i="38"/>
  <c r="Z105" i="38"/>
  <c r="F106" i="38"/>
  <c r="G106" i="38"/>
  <c r="H106" i="38"/>
  <c r="I106" i="38"/>
  <c r="J106" i="38"/>
  <c r="K106" i="38"/>
  <c r="L106" i="38"/>
  <c r="M106" i="38"/>
  <c r="N106" i="38"/>
  <c r="O106" i="38"/>
  <c r="P106" i="38"/>
  <c r="Q106" i="38"/>
  <c r="R106" i="38"/>
  <c r="S106" i="38"/>
  <c r="T106" i="38"/>
  <c r="U106" i="38"/>
  <c r="V106" i="38"/>
  <c r="W106" i="38"/>
  <c r="X106" i="38"/>
  <c r="Y106" i="38"/>
  <c r="Z106" i="38"/>
  <c r="F109" i="38"/>
  <c r="G109" i="38"/>
  <c r="H109" i="38"/>
  <c r="I109" i="38"/>
  <c r="J109" i="38"/>
  <c r="K109" i="38"/>
  <c r="L109" i="38"/>
  <c r="M109" i="38"/>
  <c r="N109" i="38"/>
  <c r="O109" i="38"/>
  <c r="P109" i="38"/>
  <c r="Q109" i="38"/>
  <c r="R109" i="38"/>
  <c r="S109" i="38"/>
  <c r="T109" i="38"/>
  <c r="U109" i="38"/>
  <c r="V109" i="38"/>
  <c r="W109" i="38"/>
  <c r="X109" i="38"/>
  <c r="Y109" i="38"/>
  <c r="Z109" i="38"/>
  <c r="F110" i="38"/>
  <c r="G110" i="38"/>
  <c r="H110" i="38"/>
  <c r="I110" i="38"/>
  <c r="J110" i="38"/>
  <c r="K110" i="38"/>
  <c r="L110" i="38"/>
  <c r="M110" i="38"/>
  <c r="N110" i="38"/>
  <c r="O110" i="38"/>
  <c r="P110" i="38"/>
  <c r="Q110" i="38"/>
  <c r="R110" i="38"/>
  <c r="S110" i="38"/>
  <c r="T110" i="38"/>
  <c r="U110" i="38"/>
  <c r="V110" i="38"/>
  <c r="W110" i="38"/>
  <c r="X110" i="38"/>
  <c r="Y110" i="38"/>
  <c r="Z110" i="38"/>
  <c r="F112" i="38"/>
  <c r="G112" i="38"/>
  <c r="H112" i="38"/>
  <c r="I112" i="38"/>
  <c r="J112" i="38"/>
  <c r="K112" i="38"/>
  <c r="L112" i="38"/>
  <c r="M112" i="38"/>
  <c r="N112" i="38"/>
  <c r="O112" i="38"/>
  <c r="P112" i="38"/>
  <c r="Q112" i="38"/>
  <c r="R112" i="38"/>
  <c r="S112" i="38"/>
  <c r="T112" i="38"/>
  <c r="U112" i="38"/>
  <c r="V112" i="38"/>
  <c r="W112" i="38"/>
  <c r="X112" i="38"/>
  <c r="Y112" i="38"/>
  <c r="Z112" i="38"/>
  <c r="F113" i="38"/>
  <c r="G113" i="38"/>
  <c r="H113" i="38"/>
  <c r="I113" i="38"/>
  <c r="J113" i="38"/>
  <c r="K113" i="38"/>
  <c r="L113" i="38"/>
  <c r="M113" i="38"/>
  <c r="N113" i="38"/>
  <c r="O113" i="38"/>
  <c r="P113" i="38"/>
  <c r="Q113" i="38"/>
  <c r="R113" i="38"/>
  <c r="S113" i="38"/>
  <c r="T113" i="38"/>
  <c r="U113" i="38"/>
  <c r="V113" i="38"/>
  <c r="W113" i="38"/>
  <c r="X113" i="38"/>
  <c r="Y113" i="38"/>
  <c r="Z113" i="38"/>
  <c r="F114" i="38"/>
  <c r="G114" i="38"/>
  <c r="H114" i="38"/>
  <c r="I114" i="38"/>
  <c r="J114" i="38"/>
  <c r="K114" i="38"/>
  <c r="L114" i="38"/>
  <c r="M114" i="38"/>
  <c r="N114" i="38"/>
  <c r="O114" i="38"/>
  <c r="P114" i="38"/>
  <c r="Q114" i="38"/>
  <c r="R114" i="38"/>
  <c r="S114" i="38"/>
  <c r="T114" i="38"/>
  <c r="U114" i="38"/>
  <c r="V114" i="38"/>
  <c r="W114" i="38"/>
  <c r="X114" i="38"/>
  <c r="Y114" i="38"/>
  <c r="Z114" i="38"/>
  <c r="F131" i="38"/>
  <c r="G131" i="38"/>
  <c r="H131" i="38"/>
  <c r="I131" i="38"/>
  <c r="J131" i="38"/>
  <c r="K131" i="38"/>
  <c r="L131" i="38"/>
  <c r="M131" i="38"/>
  <c r="N131" i="38"/>
  <c r="O131" i="38"/>
  <c r="P131" i="38"/>
  <c r="Q131" i="38"/>
  <c r="R131" i="38"/>
  <c r="S131" i="38"/>
  <c r="T131" i="38"/>
  <c r="U131" i="38"/>
  <c r="V131" i="38"/>
  <c r="W131" i="38"/>
  <c r="X131" i="38"/>
  <c r="Y131" i="38"/>
  <c r="Z131" i="38"/>
  <c r="F132" i="38"/>
  <c r="G132" i="38"/>
  <c r="H132" i="38"/>
  <c r="I132" i="38"/>
  <c r="J132" i="38"/>
  <c r="K132" i="38"/>
  <c r="L132" i="38"/>
  <c r="M132" i="38"/>
  <c r="N132" i="38"/>
  <c r="O132" i="38"/>
  <c r="P132" i="38"/>
  <c r="Q132" i="38"/>
  <c r="R132" i="38"/>
  <c r="S132" i="38"/>
  <c r="T132" i="38"/>
  <c r="U132" i="38"/>
  <c r="V132" i="38"/>
  <c r="W132" i="38"/>
  <c r="X132" i="38"/>
  <c r="Y132" i="38"/>
  <c r="Z132" i="38"/>
  <c r="F134" i="38"/>
  <c r="G134" i="38"/>
  <c r="H134" i="38"/>
  <c r="I134" i="38"/>
  <c r="J134" i="38"/>
  <c r="K134" i="38"/>
  <c r="L134" i="38"/>
  <c r="M134" i="38"/>
  <c r="N134" i="38"/>
  <c r="O134" i="38"/>
  <c r="P134" i="38"/>
  <c r="Q134" i="38"/>
  <c r="R134" i="38"/>
  <c r="S134" i="38"/>
  <c r="T134" i="38"/>
  <c r="U134" i="38"/>
  <c r="V134" i="38"/>
  <c r="W134" i="38"/>
  <c r="X134" i="38"/>
  <c r="Y134" i="38"/>
  <c r="Z134" i="38"/>
  <c r="F135" i="38"/>
  <c r="G135" i="38"/>
  <c r="H135" i="38"/>
  <c r="I135" i="38"/>
  <c r="J135" i="38"/>
  <c r="K135" i="38"/>
  <c r="L135" i="38"/>
  <c r="M135" i="38"/>
  <c r="N135" i="38"/>
  <c r="O135" i="38"/>
  <c r="P135" i="38"/>
  <c r="Q135" i="38"/>
  <c r="R135" i="38"/>
  <c r="S135" i="38"/>
  <c r="T135" i="38"/>
  <c r="U135" i="38"/>
  <c r="V135" i="38"/>
  <c r="W135" i="38"/>
  <c r="X135" i="38"/>
  <c r="Y135" i="38"/>
  <c r="Z135" i="38"/>
  <c r="F136" i="38"/>
  <c r="G136" i="38"/>
  <c r="H136" i="38"/>
  <c r="I136" i="38"/>
  <c r="J136" i="38"/>
  <c r="K136" i="38"/>
  <c r="L136" i="38"/>
  <c r="M136" i="38"/>
  <c r="N136" i="38"/>
  <c r="O136" i="38"/>
  <c r="P136" i="38"/>
  <c r="Q136" i="38"/>
  <c r="R136" i="38"/>
  <c r="S136" i="38"/>
  <c r="T136" i="38"/>
  <c r="U136" i="38"/>
  <c r="V136" i="38"/>
  <c r="W136" i="38"/>
  <c r="X136" i="38"/>
  <c r="Y136" i="38"/>
  <c r="Z136" i="38"/>
  <c r="F138" i="38"/>
  <c r="G138" i="38"/>
  <c r="H138" i="38"/>
  <c r="I138" i="38"/>
  <c r="J138" i="38"/>
  <c r="K138" i="38"/>
  <c r="L138" i="38"/>
  <c r="M138" i="38"/>
  <c r="N138" i="38"/>
  <c r="O138" i="38"/>
  <c r="P138" i="38"/>
  <c r="Q138" i="38"/>
  <c r="R138" i="38"/>
  <c r="S138" i="38"/>
  <c r="T138" i="38"/>
  <c r="U138" i="38"/>
  <c r="V138" i="38"/>
  <c r="W138" i="38"/>
  <c r="X138" i="38"/>
  <c r="Y138" i="38"/>
  <c r="Z138" i="38"/>
  <c r="G141" i="38"/>
  <c r="H141" i="38"/>
  <c r="I141" i="38"/>
  <c r="J141" i="38"/>
  <c r="K141" i="38"/>
  <c r="L141" i="38"/>
  <c r="M141" i="38"/>
  <c r="N141" i="38"/>
  <c r="O141" i="38"/>
  <c r="P141" i="38"/>
  <c r="Q141" i="38"/>
  <c r="R141" i="38"/>
  <c r="S141" i="38"/>
  <c r="T141" i="38"/>
  <c r="U141" i="38"/>
  <c r="V141" i="38"/>
  <c r="W141" i="38"/>
  <c r="X141" i="38"/>
  <c r="Y141" i="38"/>
  <c r="Z141" i="38"/>
  <c r="I142" i="38"/>
  <c r="F143" i="38"/>
  <c r="G143" i="38"/>
  <c r="H143" i="38"/>
  <c r="I143" i="38"/>
  <c r="J143" i="38"/>
  <c r="K143" i="38"/>
  <c r="L143" i="38"/>
  <c r="M143" i="38"/>
  <c r="N143" i="38"/>
  <c r="O143" i="38"/>
  <c r="P143" i="38"/>
  <c r="Q143" i="38"/>
  <c r="R143" i="38"/>
  <c r="S143" i="38"/>
  <c r="T143" i="38"/>
  <c r="U143" i="38"/>
  <c r="V143" i="38"/>
  <c r="W143" i="38"/>
  <c r="X143" i="38"/>
  <c r="Y143" i="38"/>
  <c r="Z143" i="38"/>
  <c r="F144" i="38"/>
  <c r="G144" i="38"/>
  <c r="H144" i="38"/>
  <c r="I144" i="38"/>
  <c r="J144" i="38"/>
  <c r="K144" i="38"/>
  <c r="L144" i="38"/>
  <c r="M144" i="38"/>
  <c r="N144" i="38"/>
  <c r="O144" i="38"/>
  <c r="P144" i="38"/>
  <c r="Q144" i="38"/>
  <c r="R144" i="38"/>
  <c r="S144" i="38"/>
  <c r="T144" i="38"/>
  <c r="U144" i="38"/>
  <c r="V144" i="38"/>
  <c r="W144" i="38"/>
  <c r="X144" i="38"/>
  <c r="Y144" i="38"/>
  <c r="Z144" i="38"/>
  <c r="F146" i="38"/>
  <c r="G146" i="38"/>
  <c r="H146" i="38"/>
  <c r="I146" i="38"/>
  <c r="J146" i="38"/>
  <c r="K146" i="38"/>
  <c r="L146" i="38"/>
  <c r="M146" i="38"/>
  <c r="N146" i="38"/>
  <c r="O146" i="38"/>
  <c r="P146" i="38"/>
  <c r="Q146" i="38"/>
  <c r="R146" i="38"/>
  <c r="S146" i="38"/>
  <c r="T146" i="38"/>
  <c r="U146" i="38"/>
  <c r="V146" i="38"/>
  <c r="W146" i="38"/>
  <c r="X146" i="38"/>
  <c r="Y146" i="38"/>
  <c r="Z146" i="38"/>
  <c r="F147" i="38"/>
  <c r="G147" i="38"/>
  <c r="H147" i="38"/>
  <c r="I147" i="38"/>
  <c r="J147" i="38"/>
  <c r="K147" i="38"/>
  <c r="L147" i="38"/>
  <c r="M147" i="38"/>
  <c r="N147" i="38"/>
  <c r="O147" i="38"/>
  <c r="P147" i="38"/>
  <c r="Q147" i="38"/>
  <c r="R147" i="38"/>
  <c r="S147" i="38"/>
  <c r="T147" i="38"/>
  <c r="U147" i="38"/>
  <c r="V147" i="38"/>
  <c r="W147" i="38"/>
  <c r="X147" i="38"/>
  <c r="Y147" i="38"/>
  <c r="Z147" i="38"/>
  <c r="F148" i="38"/>
  <c r="G148" i="38"/>
  <c r="H148" i="38"/>
  <c r="I148" i="38"/>
  <c r="J148" i="38"/>
  <c r="K148" i="38"/>
  <c r="L148" i="38"/>
  <c r="M148" i="38"/>
  <c r="N148" i="38"/>
  <c r="O148" i="38"/>
  <c r="P148" i="38"/>
  <c r="Q148" i="38"/>
  <c r="R148" i="38"/>
  <c r="S148" i="38"/>
  <c r="T148" i="38"/>
  <c r="U148" i="38"/>
  <c r="V148" i="38"/>
  <c r="W148" i="38"/>
  <c r="X148" i="38"/>
  <c r="Y148" i="38"/>
  <c r="Z148" i="38"/>
  <c r="I150" i="38"/>
  <c r="F152" i="38"/>
  <c r="G152" i="38"/>
  <c r="H152" i="38"/>
  <c r="I152" i="38"/>
  <c r="J152" i="38"/>
  <c r="K152" i="38"/>
  <c r="L152" i="38"/>
  <c r="M152" i="38"/>
  <c r="N152" i="38"/>
  <c r="O152" i="38"/>
  <c r="P152" i="38"/>
  <c r="Q152" i="38"/>
  <c r="R152" i="38"/>
  <c r="S152" i="38"/>
  <c r="T152" i="38"/>
  <c r="U152" i="38"/>
  <c r="V152" i="38"/>
  <c r="W152" i="38"/>
  <c r="X152" i="38"/>
  <c r="Y152" i="38"/>
  <c r="Z152" i="38"/>
  <c r="P155" i="38"/>
  <c r="I156" i="38"/>
  <c r="P157" i="38"/>
  <c r="P158" i="38"/>
  <c r="I159" i="38"/>
  <c r="P159" i="38"/>
  <c r="F162" i="38"/>
  <c r="G162" i="38"/>
  <c r="H162" i="38"/>
  <c r="I162" i="38"/>
  <c r="J162" i="38"/>
  <c r="K162" i="38"/>
  <c r="L162" i="38"/>
  <c r="M162" i="38"/>
  <c r="N162" i="38"/>
  <c r="O162" i="38"/>
  <c r="P162" i="38"/>
  <c r="D196" i="38"/>
  <c r="F196" i="38"/>
  <c r="G196" i="38"/>
  <c r="H196" i="38"/>
  <c r="I196" i="38"/>
  <c r="J196" i="38"/>
  <c r="K196" i="38"/>
  <c r="L196" i="38"/>
  <c r="M196" i="38"/>
  <c r="N196" i="38"/>
  <c r="O196" i="38"/>
  <c r="P196" i="38"/>
  <c r="Q196" i="38"/>
  <c r="R196" i="38"/>
  <c r="S196" i="38"/>
  <c r="T196" i="38"/>
  <c r="U196" i="38"/>
  <c r="V196" i="38"/>
  <c r="W196" i="38"/>
  <c r="X196" i="38"/>
  <c r="Y196" i="38"/>
  <c r="Z196" i="38"/>
  <c r="F200" i="38"/>
  <c r="G200" i="38"/>
  <c r="H200" i="38"/>
  <c r="I200" i="38"/>
  <c r="J200" i="38"/>
  <c r="K200" i="38"/>
  <c r="L200" i="38"/>
  <c r="M200" i="38"/>
  <c r="N200" i="38"/>
  <c r="O200" i="38"/>
  <c r="P200" i="38"/>
  <c r="Q200" i="38"/>
  <c r="R200" i="38"/>
  <c r="S200" i="38"/>
  <c r="T200" i="38"/>
  <c r="U200" i="38"/>
  <c r="V200" i="38"/>
  <c r="W200" i="38"/>
  <c r="X200" i="38"/>
  <c r="Y200" i="38"/>
  <c r="Z200" i="38"/>
  <c r="F202" i="38"/>
  <c r="G202" i="38"/>
  <c r="H202" i="38"/>
  <c r="I202" i="38"/>
  <c r="J202" i="38"/>
  <c r="K202" i="38"/>
  <c r="L202" i="38"/>
  <c r="M202" i="38"/>
  <c r="N202" i="38"/>
  <c r="O202" i="38"/>
  <c r="P202" i="38"/>
  <c r="Q202" i="38"/>
  <c r="R202" i="38"/>
  <c r="S202" i="38"/>
  <c r="T202" i="38"/>
  <c r="U202" i="38"/>
  <c r="V202" i="38"/>
  <c r="W202" i="38"/>
  <c r="X202" i="38"/>
  <c r="Y202" i="38"/>
  <c r="Z202" i="38"/>
  <c r="F206" i="38"/>
  <c r="G206" i="38"/>
  <c r="H206" i="38"/>
  <c r="I206" i="38"/>
  <c r="J206" i="38"/>
  <c r="K206" i="38"/>
  <c r="L206" i="38"/>
  <c r="M206" i="38"/>
  <c r="N206" i="38"/>
  <c r="O206" i="38"/>
  <c r="P206" i="38"/>
  <c r="Q206" i="38"/>
  <c r="R206" i="38"/>
  <c r="S206" i="38"/>
  <c r="T206" i="38"/>
  <c r="U206" i="38"/>
  <c r="V206" i="38"/>
  <c r="W206" i="38"/>
  <c r="X206" i="38"/>
  <c r="Y206" i="38"/>
  <c r="Z206" i="38"/>
  <c r="F207" i="38"/>
  <c r="G207" i="38"/>
  <c r="H207" i="38"/>
  <c r="I207" i="38"/>
  <c r="J207" i="38"/>
  <c r="K207" i="38"/>
  <c r="L207" i="38"/>
  <c r="M207" i="38"/>
  <c r="N207" i="38"/>
  <c r="O207" i="38"/>
  <c r="P207" i="38"/>
  <c r="Q207" i="38"/>
  <c r="R207" i="38"/>
  <c r="S207" i="38"/>
  <c r="T207" i="38"/>
  <c r="U207" i="38"/>
  <c r="V207" i="38"/>
  <c r="W207" i="38"/>
  <c r="X207" i="38"/>
  <c r="Y207" i="38"/>
  <c r="Z207" i="38"/>
  <c r="F208" i="38"/>
  <c r="G208" i="38"/>
  <c r="H208" i="38"/>
  <c r="I208" i="38"/>
  <c r="J208" i="38"/>
  <c r="K208" i="38"/>
  <c r="L208" i="38"/>
  <c r="M208" i="38"/>
  <c r="N208" i="38"/>
  <c r="O208" i="38"/>
  <c r="P208" i="38"/>
  <c r="Q208" i="38"/>
  <c r="R208" i="38"/>
  <c r="S208" i="38"/>
  <c r="T208" i="38"/>
  <c r="U208" i="38"/>
  <c r="V208" i="38"/>
  <c r="W208" i="38"/>
  <c r="X208" i="38"/>
  <c r="Y208" i="38"/>
  <c r="Z208" i="38"/>
  <c r="J211" i="38"/>
  <c r="K211" i="38"/>
  <c r="L211" i="38"/>
  <c r="M211" i="38"/>
  <c r="N211" i="38"/>
  <c r="O211" i="38"/>
  <c r="P211" i="38"/>
  <c r="Q211" i="38"/>
  <c r="R211" i="38"/>
  <c r="S211" i="38"/>
  <c r="T211" i="38"/>
  <c r="U211" i="38"/>
  <c r="V211" i="38"/>
  <c r="W211" i="38"/>
  <c r="X211" i="38"/>
  <c r="Y211" i="38"/>
  <c r="Z211" i="38"/>
  <c r="I212" i="38"/>
  <c r="I214" i="38"/>
  <c r="J214" i="38"/>
  <c r="K214" i="38"/>
  <c r="L214" i="38"/>
  <c r="M214" i="38"/>
  <c r="N214" i="38"/>
  <c r="O214" i="38"/>
  <c r="P214" i="38"/>
  <c r="Q214" i="38"/>
  <c r="R214" i="38"/>
  <c r="S214" i="38"/>
  <c r="T214" i="38"/>
  <c r="U214" i="38"/>
  <c r="V214" i="38"/>
  <c r="W214" i="38"/>
  <c r="X214" i="38"/>
  <c r="Y214" i="38"/>
  <c r="Z214" i="38"/>
  <c r="I216" i="38"/>
  <c r="J216" i="38"/>
  <c r="K216" i="38"/>
  <c r="L216" i="38"/>
  <c r="M216" i="38"/>
  <c r="N216" i="38"/>
  <c r="O216" i="38"/>
  <c r="P216" i="38"/>
  <c r="Q216" i="38"/>
  <c r="R216" i="38"/>
  <c r="S216" i="38"/>
  <c r="T216" i="38"/>
  <c r="U216" i="38"/>
  <c r="V216" i="38"/>
  <c r="W216" i="38"/>
  <c r="X216" i="38"/>
  <c r="Y216" i="38"/>
  <c r="Z216" i="38"/>
  <c r="I217" i="38"/>
  <c r="J217" i="38"/>
  <c r="K217" i="38"/>
  <c r="L217" i="38"/>
  <c r="M217" i="38"/>
  <c r="N217" i="38"/>
  <c r="O217" i="38"/>
  <c r="P217" i="38"/>
  <c r="Q217" i="38"/>
  <c r="R217" i="38"/>
  <c r="S217" i="38"/>
  <c r="T217" i="38"/>
  <c r="U217" i="38"/>
  <c r="V217" i="38"/>
  <c r="W217" i="38"/>
  <c r="X217" i="38"/>
  <c r="Y217" i="38"/>
  <c r="Z217" i="38"/>
  <c r="F218" i="38"/>
  <c r="G218" i="38"/>
  <c r="H218" i="38"/>
  <c r="I218" i="38"/>
  <c r="J218" i="38"/>
  <c r="K218" i="38"/>
  <c r="L218" i="38"/>
  <c r="M218" i="38"/>
  <c r="N218" i="38"/>
  <c r="O218" i="38"/>
  <c r="P218" i="38"/>
  <c r="Q218" i="38"/>
  <c r="R218" i="38"/>
  <c r="S218" i="38"/>
  <c r="T218" i="38"/>
  <c r="U218" i="38"/>
  <c r="V218" i="38"/>
  <c r="W218" i="38"/>
  <c r="X218" i="38"/>
  <c r="Y218" i="38"/>
  <c r="Z218" i="38"/>
  <c r="I220" i="38"/>
  <c r="F222" i="38"/>
  <c r="G222" i="38"/>
  <c r="H222" i="38"/>
  <c r="I222" i="38"/>
  <c r="J222" i="38"/>
  <c r="K222" i="38"/>
  <c r="L222" i="38"/>
  <c r="M222" i="38"/>
  <c r="N222" i="38"/>
  <c r="O222" i="38"/>
  <c r="P222" i="38"/>
  <c r="Q222" i="38"/>
  <c r="R222" i="38"/>
  <c r="S222" i="38"/>
  <c r="T222" i="38"/>
  <c r="U222" i="38"/>
  <c r="V222" i="38"/>
  <c r="W222" i="38"/>
  <c r="X222" i="38"/>
  <c r="Y222" i="38"/>
  <c r="Z222" i="38"/>
  <c r="P225" i="38"/>
  <c r="P226" i="38"/>
  <c r="P227" i="38"/>
  <c r="P228" i="38"/>
  <c r="F230" i="38"/>
  <c r="G230" i="38"/>
  <c r="H230" i="38"/>
  <c r="I230" i="38"/>
  <c r="J230" i="38"/>
  <c r="K230" i="38"/>
  <c r="L230" i="38"/>
  <c r="M230" i="38"/>
  <c r="N230" i="38"/>
  <c r="O230" i="38"/>
  <c r="P230" i="38"/>
  <c r="F244" i="38"/>
  <c r="G244" i="38"/>
  <c r="H244" i="38"/>
  <c r="I244" i="38"/>
  <c r="J244" i="38"/>
  <c r="K244" i="38"/>
  <c r="L244" i="38"/>
  <c r="M244" i="38"/>
  <c r="N244" i="38"/>
  <c r="O244" i="38"/>
  <c r="P244" i="38"/>
  <c r="Q244" i="38"/>
  <c r="R244" i="38"/>
  <c r="S244" i="38"/>
  <c r="T244" i="38"/>
  <c r="U244" i="38"/>
  <c r="V244" i="38"/>
  <c r="W244" i="38"/>
  <c r="X244" i="38"/>
  <c r="Y244" i="38"/>
  <c r="Z244" i="38"/>
  <c r="F245" i="38"/>
  <c r="G245" i="38"/>
  <c r="H245" i="38"/>
  <c r="I245" i="38"/>
  <c r="J245" i="38"/>
  <c r="K245" i="38"/>
  <c r="L245" i="38"/>
  <c r="M245" i="38"/>
  <c r="N245" i="38"/>
  <c r="O245" i="38"/>
  <c r="P245" i="38"/>
  <c r="Q245" i="38"/>
  <c r="R245" i="38"/>
  <c r="S245" i="38"/>
  <c r="T245" i="38"/>
  <c r="U245" i="38"/>
  <c r="V245" i="38"/>
  <c r="W245" i="38"/>
  <c r="X245" i="38"/>
  <c r="Y245" i="38"/>
  <c r="Z245" i="38"/>
  <c r="F248" i="38"/>
  <c r="G248" i="38"/>
  <c r="H248" i="38"/>
  <c r="I248" i="38"/>
  <c r="J248" i="38"/>
  <c r="K248" i="38"/>
  <c r="L248" i="38"/>
  <c r="M248" i="38"/>
  <c r="N248" i="38"/>
  <c r="O248" i="38"/>
  <c r="P248" i="38"/>
  <c r="Q248" i="38"/>
  <c r="R248" i="38"/>
  <c r="S248" i="38"/>
  <c r="T248" i="38"/>
  <c r="U248" i="38"/>
  <c r="V248" i="38"/>
  <c r="W248" i="38"/>
  <c r="X248" i="38"/>
  <c r="Y248" i="38"/>
  <c r="Z248" i="38"/>
  <c r="F249" i="38"/>
  <c r="G249" i="38"/>
  <c r="H249" i="38"/>
  <c r="I249" i="38"/>
  <c r="J249" i="38"/>
  <c r="K249" i="38"/>
  <c r="L249" i="38"/>
  <c r="M249" i="38"/>
  <c r="N249" i="38"/>
  <c r="O249" i="38"/>
  <c r="P249" i="38"/>
  <c r="Q249" i="38"/>
  <c r="R249" i="38"/>
  <c r="S249" i="38"/>
  <c r="T249" i="38"/>
  <c r="U249" i="38"/>
  <c r="V249" i="38"/>
  <c r="W249" i="38"/>
  <c r="X249" i="38"/>
  <c r="Y249" i="38"/>
  <c r="Z249" i="38"/>
  <c r="F251" i="38"/>
  <c r="G251" i="38"/>
  <c r="H251" i="38"/>
  <c r="I251" i="38"/>
  <c r="J251" i="38"/>
  <c r="K251" i="38"/>
  <c r="L251" i="38"/>
  <c r="M251" i="38"/>
  <c r="N251" i="38"/>
  <c r="O251" i="38"/>
  <c r="P251" i="38"/>
  <c r="Q251" i="38"/>
  <c r="R251" i="38"/>
  <c r="S251" i="38"/>
  <c r="T251" i="38"/>
  <c r="U251" i="38"/>
  <c r="V251" i="38"/>
  <c r="W251" i="38"/>
  <c r="X251" i="38"/>
  <c r="Y251" i="38"/>
  <c r="Z251" i="38"/>
  <c r="F252" i="38"/>
  <c r="G252" i="38"/>
  <c r="H252" i="38"/>
  <c r="I252" i="38"/>
  <c r="J252" i="38"/>
  <c r="K252" i="38"/>
  <c r="L252" i="38"/>
  <c r="M252" i="38"/>
  <c r="N252" i="38"/>
  <c r="O252" i="38"/>
  <c r="P252" i="38"/>
  <c r="Q252" i="38"/>
  <c r="R252" i="38"/>
  <c r="S252" i="38"/>
  <c r="T252" i="38"/>
  <c r="U252" i="38"/>
  <c r="V252" i="38"/>
  <c r="W252" i="38"/>
  <c r="X252" i="38"/>
  <c r="Y252" i="38"/>
  <c r="Z252" i="38"/>
  <c r="F253" i="38"/>
  <c r="G253" i="38"/>
  <c r="H253" i="38"/>
  <c r="I253" i="38"/>
  <c r="J253" i="38"/>
  <c r="K253" i="38"/>
  <c r="L253" i="38"/>
  <c r="M253" i="38"/>
  <c r="N253" i="38"/>
  <c r="O253" i="38"/>
  <c r="P253" i="38"/>
  <c r="Q253" i="38"/>
  <c r="R253" i="38"/>
  <c r="S253" i="38"/>
  <c r="T253" i="38"/>
  <c r="U253" i="38"/>
  <c r="V253" i="38"/>
  <c r="W253" i="38"/>
  <c r="X253" i="38"/>
  <c r="Y253" i="38"/>
  <c r="Z253" i="38"/>
  <c r="J256" i="38"/>
  <c r="K256" i="38"/>
  <c r="L256" i="38"/>
  <c r="M256" i="38"/>
  <c r="N256" i="38"/>
  <c r="O256" i="38"/>
  <c r="P256" i="38"/>
  <c r="Q256" i="38"/>
  <c r="R256" i="38"/>
  <c r="S256" i="38"/>
  <c r="T256" i="38"/>
  <c r="U256" i="38"/>
  <c r="V256" i="38"/>
  <c r="W256" i="38"/>
  <c r="X256" i="38"/>
  <c r="Y256" i="38"/>
  <c r="Z256" i="38"/>
  <c r="I257" i="38"/>
  <c r="I259" i="38"/>
  <c r="J259" i="38"/>
  <c r="K259" i="38"/>
  <c r="L259" i="38"/>
  <c r="M259" i="38"/>
  <c r="N259" i="38"/>
  <c r="O259" i="38"/>
  <c r="P259" i="38"/>
  <c r="Q259" i="38"/>
  <c r="R259" i="38"/>
  <c r="S259" i="38"/>
  <c r="T259" i="38"/>
  <c r="U259" i="38"/>
  <c r="V259" i="38"/>
  <c r="W259" i="38"/>
  <c r="X259" i="38"/>
  <c r="Y259" i="38"/>
  <c r="Z259" i="38"/>
  <c r="I261" i="38"/>
  <c r="J261" i="38"/>
  <c r="K261" i="38"/>
  <c r="L261" i="38"/>
  <c r="M261" i="38"/>
  <c r="N261" i="38"/>
  <c r="O261" i="38"/>
  <c r="P261" i="38"/>
  <c r="Q261" i="38"/>
  <c r="R261" i="38"/>
  <c r="S261" i="38"/>
  <c r="T261" i="38"/>
  <c r="U261" i="38"/>
  <c r="V261" i="38"/>
  <c r="W261" i="38"/>
  <c r="X261" i="38"/>
  <c r="Y261" i="38"/>
  <c r="Z261" i="38"/>
  <c r="I262" i="38"/>
  <c r="J262" i="38"/>
  <c r="K262" i="38"/>
  <c r="L262" i="38"/>
  <c r="M262" i="38"/>
  <c r="N262" i="38"/>
  <c r="O262" i="38"/>
  <c r="P262" i="38"/>
  <c r="Q262" i="38"/>
  <c r="R262" i="38"/>
  <c r="S262" i="38"/>
  <c r="T262" i="38"/>
  <c r="U262" i="38"/>
  <c r="V262" i="38"/>
  <c r="W262" i="38"/>
  <c r="X262" i="38"/>
  <c r="Y262" i="38"/>
  <c r="Z262" i="38"/>
  <c r="F263" i="38"/>
  <c r="G263" i="38"/>
  <c r="H263" i="38"/>
  <c r="I263" i="38"/>
  <c r="J263" i="38"/>
  <c r="K263" i="38"/>
  <c r="L263" i="38"/>
  <c r="M263" i="38"/>
  <c r="N263" i="38"/>
  <c r="O263" i="38"/>
  <c r="P263" i="38"/>
  <c r="Q263" i="38"/>
  <c r="R263" i="38"/>
  <c r="S263" i="38"/>
  <c r="T263" i="38"/>
  <c r="U263" i="38"/>
  <c r="V263" i="38"/>
  <c r="W263" i="38"/>
  <c r="X263" i="38"/>
  <c r="Y263" i="38"/>
  <c r="Z263" i="38"/>
  <c r="I265" i="38"/>
  <c r="F267" i="38"/>
  <c r="G267" i="38"/>
  <c r="H267" i="38"/>
  <c r="I267" i="38"/>
  <c r="J267" i="38"/>
  <c r="K267" i="38"/>
  <c r="L267" i="38"/>
  <c r="M267" i="38"/>
  <c r="N267" i="38"/>
  <c r="O267" i="38"/>
  <c r="P267" i="38"/>
  <c r="Q267" i="38"/>
  <c r="R267" i="38"/>
  <c r="S267" i="38"/>
  <c r="T267" i="38"/>
  <c r="U267" i="38"/>
  <c r="V267" i="38"/>
  <c r="W267" i="38"/>
  <c r="X267" i="38"/>
  <c r="Y267" i="38"/>
  <c r="Z267" i="38"/>
  <c r="P270" i="38"/>
  <c r="P271" i="38"/>
  <c r="P272" i="38"/>
  <c r="P273" i="38"/>
  <c r="F275" i="38"/>
  <c r="G275" i="38"/>
  <c r="H275" i="38"/>
  <c r="I275" i="38"/>
  <c r="J275" i="38"/>
  <c r="K275" i="38"/>
  <c r="L275" i="38"/>
  <c r="M275" i="38"/>
  <c r="N275" i="38"/>
  <c r="O275" i="38"/>
  <c r="P275" i="38"/>
  <c r="F277" i="38"/>
  <c r="G277" i="38"/>
  <c r="H277" i="38"/>
  <c r="I277" i="38"/>
  <c r="J277" i="38"/>
  <c r="K277" i="38"/>
  <c r="L277" i="38"/>
  <c r="M277" i="38"/>
  <c r="N277" i="38"/>
  <c r="O277" i="38"/>
  <c r="P277" i="38"/>
  <c r="F279" i="38"/>
  <c r="G279" i="38"/>
  <c r="H279" i="38"/>
  <c r="I279" i="38"/>
  <c r="J279" i="38"/>
  <c r="K279" i="38"/>
  <c r="L279" i="38"/>
  <c r="M279" i="38"/>
  <c r="N279" i="38"/>
  <c r="O279" i="38"/>
  <c r="P279" i="38"/>
  <c r="Q279" i="38"/>
  <c r="R279" i="38"/>
  <c r="S279" i="38"/>
  <c r="T279" i="38"/>
  <c r="U279" i="38"/>
  <c r="V279" i="38"/>
  <c r="W279" i="38"/>
  <c r="X279" i="38"/>
  <c r="Y279" i="38"/>
  <c r="Z279" i="38"/>
  <c r="F280" i="38"/>
  <c r="G280" i="38"/>
  <c r="H280" i="38"/>
  <c r="I280" i="38"/>
  <c r="J280" i="38"/>
  <c r="K280" i="38"/>
  <c r="L280" i="38"/>
  <c r="M280" i="38"/>
  <c r="N280" i="38"/>
  <c r="O280" i="38"/>
  <c r="P280" i="38"/>
  <c r="Q280" i="38"/>
  <c r="R280" i="38"/>
  <c r="S280" i="38"/>
  <c r="T280" i="38"/>
  <c r="U280" i="38"/>
  <c r="V280" i="38"/>
  <c r="W280" i="38"/>
  <c r="X280" i="38"/>
  <c r="Y280" i="38"/>
  <c r="Z280" i="38"/>
  <c r="D288" i="38"/>
  <c r="F288" i="38"/>
  <c r="G288" i="38"/>
  <c r="H288" i="38"/>
  <c r="D289" i="38"/>
  <c r="G289" i="38"/>
  <c r="H289" i="38"/>
  <c r="D291" i="38"/>
  <c r="F291" i="38"/>
  <c r="G291" i="38"/>
  <c r="H291" i="38"/>
  <c r="I291" i="38"/>
  <c r="J291" i="38"/>
  <c r="D292" i="38"/>
  <c r="F292" i="38"/>
  <c r="G292" i="38"/>
  <c r="H292" i="38"/>
  <c r="I292" i="38"/>
  <c r="J292" i="38"/>
  <c r="D295" i="38"/>
  <c r="F295" i="38"/>
  <c r="G295" i="38"/>
  <c r="H295" i="38"/>
  <c r="I295" i="38"/>
  <c r="J295" i="38"/>
  <c r="K295" i="38"/>
  <c r="L295" i="38"/>
  <c r="M295" i="38"/>
  <c r="N295" i="38"/>
  <c r="O295" i="38"/>
  <c r="P295" i="38"/>
  <c r="Q295" i="38"/>
  <c r="R295" i="38"/>
  <c r="S295" i="38"/>
  <c r="T295" i="38"/>
  <c r="U295" i="38"/>
  <c r="V295" i="38"/>
  <c r="W295" i="38"/>
  <c r="X295" i="38"/>
  <c r="Y295" i="38"/>
  <c r="Z295" i="38"/>
  <c r="D296" i="38"/>
  <c r="F296" i="38"/>
  <c r="G296" i="38"/>
  <c r="H296" i="38"/>
  <c r="I296" i="38"/>
  <c r="J296" i="38"/>
  <c r="K296" i="38"/>
  <c r="L296" i="38"/>
  <c r="M296" i="38"/>
  <c r="N296" i="38"/>
  <c r="O296" i="38"/>
  <c r="P296" i="38"/>
  <c r="Q296" i="38"/>
  <c r="R296" i="38"/>
  <c r="S296" i="38"/>
  <c r="T296" i="38"/>
  <c r="U296" i="38"/>
  <c r="V296" i="38"/>
  <c r="W296" i="38"/>
  <c r="X296" i="38"/>
  <c r="Y296" i="38"/>
  <c r="Z296" i="38"/>
  <c r="D297" i="38"/>
  <c r="F297" i="38"/>
  <c r="G297" i="38"/>
  <c r="H297" i="38"/>
  <c r="I297" i="38"/>
  <c r="J297" i="38"/>
  <c r="K297" i="38"/>
  <c r="L297" i="38"/>
  <c r="M297" i="38"/>
  <c r="N297" i="38"/>
  <c r="O297" i="38"/>
  <c r="P297" i="38"/>
  <c r="Q297" i="38"/>
  <c r="R297" i="38"/>
  <c r="S297" i="38"/>
  <c r="T297" i="38"/>
  <c r="U297" i="38"/>
  <c r="V297" i="38"/>
  <c r="W297" i="38"/>
  <c r="X297" i="38"/>
  <c r="Y297" i="38"/>
  <c r="Z297" i="38"/>
  <c r="D298" i="38"/>
  <c r="F298" i="38"/>
  <c r="G298" i="38"/>
  <c r="H298" i="38"/>
  <c r="I298" i="38"/>
  <c r="J298" i="38"/>
  <c r="K298" i="38"/>
  <c r="L298" i="38"/>
  <c r="M298" i="38"/>
  <c r="N298" i="38"/>
  <c r="O298" i="38"/>
  <c r="P298" i="38"/>
  <c r="Q298" i="38"/>
  <c r="R298" i="38"/>
  <c r="S298" i="38"/>
  <c r="T298" i="38"/>
  <c r="U298" i="38"/>
  <c r="V298" i="38"/>
  <c r="W298" i="38"/>
  <c r="X298" i="38"/>
  <c r="Y298" i="38"/>
  <c r="Z298" i="38"/>
  <c r="D299" i="38"/>
  <c r="F299" i="38"/>
  <c r="G299" i="38"/>
  <c r="H299" i="38"/>
  <c r="I299" i="38"/>
  <c r="J299" i="38"/>
  <c r="K299" i="38"/>
  <c r="L299" i="38"/>
  <c r="M299" i="38"/>
  <c r="N299" i="38"/>
  <c r="O299" i="38"/>
  <c r="P299" i="38"/>
  <c r="Q299" i="38"/>
  <c r="R299" i="38"/>
  <c r="S299" i="38"/>
  <c r="T299" i="38"/>
  <c r="U299" i="38"/>
  <c r="V299" i="38"/>
  <c r="W299" i="38"/>
  <c r="X299" i="38"/>
  <c r="Y299" i="38"/>
  <c r="Z299" i="38"/>
  <c r="D300" i="38"/>
  <c r="F300" i="38"/>
  <c r="G300" i="38"/>
  <c r="H300" i="38"/>
  <c r="I300" i="38"/>
  <c r="J300" i="38"/>
  <c r="K300" i="38"/>
  <c r="L300" i="38"/>
  <c r="M300" i="38"/>
  <c r="N300" i="38"/>
  <c r="O300" i="38"/>
  <c r="P300" i="38"/>
  <c r="Q300" i="38"/>
  <c r="R300" i="38"/>
  <c r="S300" i="38"/>
  <c r="T300" i="38"/>
  <c r="U300" i="38"/>
  <c r="V300" i="38"/>
  <c r="W300" i="38"/>
  <c r="X300" i="38"/>
  <c r="Y300" i="38"/>
  <c r="Z300" i="38"/>
  <c r="D301" i="38"/>
  <c r="F301" i="38"/>
  <c r="G301" i="38"/>
  <c r="H301" i="38"/>
  <c r="I301" i="38"/>
  <c r="J301" i="38"/>
  <c r="K301" i="38"/>
  <c r="L301" i="38"/>
  <c r="M301" i="38"/>
  <c r="N301" i="38"/>
  <c r="O301" i="38"/>
  <c r="P301" i="38"/>
  <c r="Q301" i="38"/>
  <c r="R301" i="38"/>
  <c r="S301" i="38"/>
  <c r="T301" i="38"/>
  <c r="U301" i="38"/>
  <c r="V301" i="38"/>
  <c r="W301" i="38"/>
  <c r="X301" i="38"/>
  <c r="Y301" i="38"/>
  <c r="Z301" i="38"/>
  <c r="D302" i="38"/>
  <c r="F302" i="38"/>
  <c r="G302" i="38"/>
  <c r="H302" i="38"/>
  <c r="I302" i="38"/>
  <c r="J302" i="38"/>
  <c r="K302" i="38"/>
  <c r="L302" i="38"/>
  <c r="M302" i="38"/>
  <c r="N302" i="38"/>
  <c r="O302" i="38"/>
  <c r="P302" i="38"/>
  <c r="Q302" i="38"/>
  <c r="R302" i="38"/>
  <c r="S302" i="38"/>
  <c r="T302" i="38"/>
  <c r="U302" i="38"/>
  <c r="V302" i="38"/>
  <c r="W302" i="38"/>
  <c r="X302" i="38"/>
  <c r="Y302" i="38"/>
  <c r="Z302" i="38"/>
  <c r="D304" i="38"/>
  <c r="F304" i="38"/>
  <c r="G304" i="38"/>
  <c r="H304" i="38"/>
  <c r="I304" i="38"/>
  <c r="J304" i="38"/>
  <c r="K304" i="38"/>
  <c r="L304" i="38"/>
  <c r="M304" i="38"/>
  <c r="N304" i="38"/>
  <c r="O304" i="38"/>
  <c r="P304" i="38"/>
  <c r="Q304" i="38"/>
  <c r="R304" i="38"/>
  <c r="S304" i="38"/>
  <c r="T304" i="38"/>
  <c r="U304" i="38"/>
  <c r="V304" i="38"/>
  <c r="W304" i="38"/>
  <c r="X304" i="38"/>
  <c r="Y304" i="38"/>
  <c r="Z304" i="38"/>
  <c r="D307" i="38"/>
  <c r="F307" i="38"/>
  <c r="G307" i="38"/>
  <c r="H307" i="38"/>
  <c r="I307" i="38"/>
  <c r="J307" i="38"/>
  <c r="K307" i="38"/>
  <c r="L307" i="38"/>
  <c r="M307" i="38"/>
  <c r="N307" i="38"/>
  <c r="O307" i="38"/>
  <c r="P307" i="38"/>
  <c r="Q307" i="38"/>
  <c r="R307" i="38"/>
  <c r="S307" i="38"/>
  <c r="T307" i="38"/>
  <c r="U307" i="38"/>
  <c r="V307" i="38"/>
  <c r="W307" i="38"/>
  <c r="X307" i="38"/>
  <c r="Y307" i="38"/>
  <c r="Z307" i="38"/>
  <c r="D308" i="38"/>
  <c r="F308" i="38"/>
  <c r="G308" i="38"/>
  <c r="H308" i="38"/>
  <c r="I308" i="38"/>
  <c r="J308" i="38"/>
  <c r="K308" i="38"/>
  <c r="L308" i="38"/>
  <c r="M308" i="38"/>
  <c r="N308" i="38"/>
  <c r="O308" i="38"/>
  <c r="P308" i="38"/>
  <c r="D309" i="38"/>
  <c r="F309" i="38"/>
  <c r="G309" i="38"/>
  <c r="H309" i="38"/>
  <c r="I309" i="38"/>
  <c r="J309" i="38"/>
  <c r="K309" i="38"/>
  <c r="L309" i="38"/>
  <c r="M309" i="38"/>
  <c r="N309" i="38"/>
  <c r="O309" i="38"/>
  <c r="P309" i="38"/>
  <c r="Q309" i="38"/>
  <c r="R309" i="38"/>
  <c r="S309" i="38"/>
  <c r="T309" i="38"/>
  <c r="U309" i="38"/>
  <c r="V309" i="38"/>
  <c r="W309" i="38"/>
  <c r="X309" i="38"/>
  <c r="Y309" i="38"/>
  <c r="Z309" i="38"/>
  <c r="D311" i="38"/>
  <c r="D312" i="38"/>
  <c r="D313" i="38"/>
  <c r="F318" i="38"/>
  <c r="G318" i="38"/>
  <c r="H318" i="38"/>
  <c r="I318" i="38"/>
  <c r="J318" i="38"/>
  <c r="K318" i="38"/>
  <c r="L318" i="38"/>
  <c r="M318" i="38"/>
  <c r="N318" i="38"/>
  <c r="O318" i="38"/>
  <c r="P318" i="38"/>
  <c r="Q318" i="38"/>
  <c r="R318" i="38"/>
  <c r="S318" i="38"/>
  <c r="T318" i="38"/>
  <c r="U318" i="38"/>
  <c r="V318" i="38"/>
  <c r="W318" i="38"/>
  <c r="X318" i="38"/>
  <c r="Y318" i="38"/>
  <c r="Z318" i="38"/>
  <c r="F319" i="38"/>
  <c r="G319" i="38"/>
  <c r="H319" i="38"/>
  <c r="I319" i="38"/>
  <c r="J319" i="38"/>
  <c r="K319" i="38"/>
  <c r="L319" i="38"/>
  <c r="M319" i="38"/>
  <c r="N319" i="38"/>
  <c r="O319" i="38"/>
  <c r="P319" i="38"/>
  <c r="Q319" i="38"/>
  <c r="R319" i="38"/>
  <c r="S319" i="38"/>
  <c r="T319" i="38"/>
  <c r="U319" i="38"/>
  <c r="V319" i="38"/>
  <c r="W319" i="38"/>
  <c r="X319" i="38"/>
  <c r="Y319" i="38"/>
  <c r="Z319" i="38"/>
  <c r="F320" i="38"/>
  <c r="G320" i="38"/>
  <c r="H320" i="38"/>
  <c r="I320" i="38"/>
  <c r="J320" i="38"/>
  <c r="K320" i="38"/>
  <c r="L320" i="38"/>
  <c r="M320" i="38"/>
  <c r="N320" i="38"/>
  <c r="O320" i="38"/>
  <c r="P320" i="38"/>
  <c r="Q320" i="38"/>
  <c r="R320" i="38"/>
  <c r="S320" i="38"/>
  <c r="T320" i="38"/>
  <c r="U320" i="38"/>
  <c r="V320" i="38"/>
  <c r="W320" i="38"/>
  <c r="X320" i="38"/>
  <c r="Y320" i="38"/>
  <c r="Z320" i="38"/>
  <c r="F321" i="38"/>
  <c r="G321" i="38"/>
  <c r="H321" i="38"/>
  <c r="I321" i="38"/>
  <c r="J321" i="38"/>
  <c r="K321" i="38"/>
  <c r="L321" i="38"/>
  <c r="M321" i="38"/>
  <c r="N321" i="38"/>
  <c r="O321" i="38"/>
  <c r="P321" i="38"/>
  <c r="Q321" i="38"/>
  <c r="R321" i="38"/>
  <c r="S321" i="38"/>
  <c r="T321" i="38"/>
  <c r="U321" i="38"/>
  <c r="V321" i="38"/>
  <c r="W321" i="38"/>
  <c r="X321" i="38"/>
  <c r="Y321" i="38"/>
  <c r="Z321" i="38"/>
  <c r="P324" i="38"/>
  <c r="P325" i="38"/>
  <c r="P326" i="38"/>
  <c r="D332" i="38"/>
  <c r="F332" i="38"/>
  <c r="G332" i="38"/>
  <c r="H332" i="38"/>
  <c r="D335" i="38"/>
  <c r="F335" i="38"/>
  <c r="G335" i="38"/>
  <c r="H335" i="38"/>
  <c r="I335" i="38"/>
  <c r="J335" i="38"/>
  <c r="D336" i="38"/>
  <c r="F336" i="38"/>
  <c r="G336" i="38"/>
  <c r="H336" i="38"/>
  <c r="I336" i="38"/>
  <c r="J336" i="38"/>
  <c r="D339" i="38"/>
  <c r="F339" i="38"/>
  <c r="G339" i="38"/>
  <c r="H339" i="38"/>
  <c r="I339" i="38"/>
  <c r="J339" i="38"/>
  <c r="K339" i="38"/>
  <c r="L339" i="38"/>
  <c r="M339" i="38"/>
  <c r="N339" i="38"/>
  <c r="O339" i="38"/>
  <c r="P339" i="38"/>
  <c r="Q339" i="38"/>
  <c r="R339" i="38"/>
  <c r="S339" i="38"/>
  <c r="T339" i="38"/>
  <c r="U339" i="38"/>
  <c r="V339" i="38"/>
  <c r="W339" i="38"/>
  <c r="X339" i="38"/>
  <c r="Y339" i="38"/>
  <c r="Z339" i="38"/>
  <c r="D340" i="38"/>
  <c r="F340" i="38"/>
  <c r="G340" i="38"/>
  <c r="H340" i="38"/>
  <c r="I340" i="38"/>
  <c r="J340" i="38"/>
  <c r="K340" i="38"/>
  <c r="L340" i="38"/>
  <c r="M340" i="38"/>
  <c r="N340" i="38"/>
  <c r="O340" i="38"/>
  <c r="P340" i="38"/>
  <c r="Q340" i="38"/>
  <c r="R340" i="38"/>
  <c r="S340" i="38"/>
  <c r="T340" i="38"/>
  <c r="U340" i="38"/>
  <c r="V340" i="38"/>
  <c r="W340" i="38"/>
  <c r="X340" i="38"/>
  <c r="Y340" i="38"/>
  <c r="Z340" i="38"/>
  <c r="D341" i="38"/>
  <c r="F341" i="38"/>
  <c r="G341" i="38"/>
  <c r="H341" i="38"/>
  <c r="I341" i="38"/>
  <c r="J341" i="38"/>
  <c r="K341" i="38"/>
  <c r="L341" i="38"/>
  <c r="M341" i="38"/>
  <c r="N341" i="38"/>
  <c r="O341" i="38"/>
  <c r="P341" i="38"/>
  <c r="Q341" i="38"/>
  <c r="R341" i="38"/>
  <c r="S341" i="38"/>
  <c r="T341" i="38"/>
  <c r="U341" i="38"/>
  <c r="V341" i="38"/>
  <c r="W341" i="38"/>
  <c r="X341" i="38"/>
  <c r="Y341" i="38"/>
  <c r="Z341" i="38"/>
  <c r="D342" i="38"/>
  <c r="F342" i="38"/>
  <c r="G342" i="38"/>
  <c r="H342" i="38"/>
  <c r="I342" i="38"/>
  <c r="J342" i="38"/>
  <c r="K342" i="38"/>
  <c r="L342" i="38"/>
  <c r="M342" i="38"/>
  <c r="N342" i="38"/>
  <c r="O342" i="38"/>
  <c r="P342" i="38"/>
  <c r="Q342" i="38"/>
  <c r="R342" i="38"/>
  <c r="S342" i="38"/>
  <c r="T342" i="38"/>
  <c r="U342" i="38"/>
  <c r="V342" i="38"/>
  <c r="W342" i="38"/>
  <c r="X342" i="38"/>
  <c r="Y342" i="38"/>
  <c r="Z342" i="38"/>
  <c r="D343" i="38"/>
  <c r="F343" i="38"/>
  <c r="G343" i="38"/>
  <c r="H343" i="38"/>
  <c r="I343" i="38"/>
  <c r="J343" i="38"/>
  <c r="K343" i="38"/>
  <c r="L343" i="38"/>
  <c r="M343" i="38"/>
  <c r="N343" i="38"/>
  <c r="O343" i="38"/>
  <c r="P343" i="38"/>
  <c r="Q343" i="38"/>
  <c r="R343" i="38"/>
  <c r="S343" i="38"/>
  <c r="T343" i="38"/>
  <c r="U343" i="38"/>
  <c r="V343" i="38"/>
  <c r="W343" i="38"/>
  <c r="X343" i="38"/>
  <c r="Y343" i="38"/>
  <c r="Z343" i="38"/>
  <c r="D345" i="38"/>
  <c r="F345" i="38"/>
  <c r="G345" i="38"/>
  <c r="H345" i="38"/>
  <c r="I345" i="38"/>
  <c r="J345" i="38"/>
  <c r="K345" i="38"/>
  <c r="L345" i="38"/>
  <c r="M345" i="38"/>
  <c r="N345" i="38"/>
  <c r="O345" i="38"/>
  <c r="P345" i="38"/>
  <c r="Q345" i="38"/>
  <c r="R345" i="38"/>
  <c r="S345" i="38"/>
  <c r="T345" i="38"/>
  <c r="U345" i="38"/>
  <c r="V345" i="38"/>
  <c r="W345" i="38"/>
  <c r="X345" i="38"/>
  <c r="Y345" i="38"/>
  <c r="Z345" i="38"/>
  <c r="D346" i="38"/>
  <c r="F346" i="38"/>
  <c r="G346" i="38"/>
  <c r="H346" i="38"/>
  <c r="I346" i="38"/>
  <c r="J346" i="38"/>
  <c r="K346" i="38"/>
  <c r="L346" i="38"/>
  <c r="M346" i="38"/>
  <c r="N346" i="38"/>
  <c r="O346" i="38"/>
  <c r="P346" i="38"/>
  <c r="Q346" i="38"/>
  <c r="R346" i="38"/>
  <c r="S346" i="38"/>
  <c r="T346" i="38"/>
  <c r="U346" i="38"/>
  <c r="V346" i="38"/>
  <c r="W346" i="38"/>
  <c r="X346" i="38"/>
  <c r="Y346" i="38"/>
  <c r="Z346" i="38"/>
  <c r="D349" i="38"/>
  <c r="F349" i="38"/>
  <c r="G349" i="38"/>
  <c r="H349" i="38"/>
  <c r="I349" i="38"/>
  <c r="J349" i="38"/>
  <c r="K349" i="38"/>
  <c r="L349" i="38"/>
  <c r="M349" i="38"/>
  <c r="N349" i="38"/>
  <c r="O349" i="38"/>
  <c r="P349" i="38"/>
  <c r="Q349" i="38"/>
  <c r="R349" i="38"/>
  <c r="S349" i="38"/>
  <c r="T349" i="38"/>
  <c r="U349" i="38"/>
  <c r="V349" i="38"/>
  <c r="W349" i="38"/>
  <c r="X349" i="38"/>
  <c r="Y349" i="38"/>
  <c r="Z349" i="38"/>
  <c r="D350" i="38"/>
  <c r="F350" i="38"/>
  <c r="G350" i="38"/>
  <c r="H350" i="38"/>
  <c r="I350" i="38"/>
  <c r="J350" i="38"/>
  <c r="K350" i="38"/>
  <c r="L350" i="38"/>
  <c r="M350" i="38"/>
  <c r="N350" i="38"/>
  <c r="O350" i="38"/>
  <c r="P350" i="38"/>
  <c r="D351" i="38"/>
  <c r="F351" i="38"/>
  <c r="G351" i="38"/>
  <c r="H351" i="38"/>
  <c r="I351" i="38"/>
  <c r="J351" i="38"/>
  <c r="K351" i="38"/>
  <c r="L351" i="38"/>
  <c r="M351" i="38"/>
  <c r="N351" i="38"/>
  <c r="O351" i="38"/>
  <c r="P351" i="38"/>
  <c r="Q351" i="38"/>
  <c r="R351" i="38"/>
  <c r="S351" i="38"/>
  <c r="T351" i="38"/>
  <c r="U351" i="38"/>
  <c r="V351" i="38"/>
  <c r="W351" i="38"/>
  <c r="X351" i="38"/>
  <c r="Y351" i="38"/>
  <c r="Z351" i="38"/>
  <c r="D353" i="38"/>
  <c r="D354" i="38"/>
  <c r="D355" i="38"/>
  <c r="F360" i="38"/>
  <c r="G360" i="38"/>
  <c r="H360" i="38"/>
  <c r="I360" i="38"/>
  <c r="J360" i="38"/>
  <c r="K360" i="38"/>
  <c r="L360" i="38"/>
  <c r="M360" i="38"/>
  <c r="N360" i="38"/>
  <c r="O360" i="38"/>
  <c r="P360" i="38"/>
  <c r="Q360" i="38"/>
  <c r="R360" i="38"/>
  <c r="S360" i="38"/>
  <c r="T360" i="38"/>
  <c r="U360" i="38"/>
  <c r="V360" i="38"/>
  <c r="W360" i="38"/>
  <c r="X360" i="38"/>
  <c r="Y360" i="38"/>
  <c r="Z360" i="38"/>
  <c r="F363" i="38"/>
  <c r="G363" i="38"/>
  <c r="H363" i="38"/>
  <c r="I363" i="38"/>
  <c r="J363" i="38"/>
  <c r="K363" i="38"/>
  <c r="L363" i="38"/>
  <c r="M363" i="38"/>
  <c r="N363" i="38"/>
  <c r="O363" i="38"/>
  <c r="P363" i="38"/>
  <c r="F364" i="38"/>
  <c r="G364" i="38"/>
  <c r="H364" i="38"/>
  <c r="I364" i="38"/>
  <c r="J364" i="38"/>
  <c r="K364" i="38"/>
  <c r="L364" i="38"/>
  <c r="M364" i="38"/>
  <c r="N364" i="38"/>
  <c r="O364" i="38"/>
  <c r="P364" i="38"/>
  <c r="P365" i="38"/>
  <c r="P366" i="38"/>
  <c r="D367" i="38"/>
  <c r="F367" i="38"/>
  <c r="G367" i="38"/>
  <c r="H367" i="38"/>
  <c r="I367" i="38"/>
  <c r="J367" i="38"/>
  <c r="K367" i="38"/>
  <c r="L367" i="38"/>
  <c r="M367" i="38"/>
  <c r="N367" i="38"/>
  <c r="O367" i="38"/>
  <c r="P367" i="38"/>
  <c r="Q367" i="38"/>
  <c r="R367" i="38"/>
  <c r="S367" i="38"/>
  <c r="T367" i="38"/>
  <c r="U367" i="38"/>
  <c r="V367" i="38"/>
  <c r="W367" i="38"/>
  <c r="X367" i="38"/>
  <c r="Y367" i="38"/>
  <c r="Z367" i="38"/>
  <c r="D369" i="38"/>
  <c r="F372" i="38"/>
  <c r="G372" i="38"/>
  <c r="H372" i="38"/>
  <c r="I372" i="38"/>
  <c r="J372" i="38"/>
  <c r="K372" i="38"/>
  <c r="L372" i="38"/>
  <c r="M372" i="38"/>
  <c r="N372" i="38"/>
  <c r="O372" i="38"/>
  <c r="P372" i="38"/>
  <c r="Q372" i="38"/>
  <c r="R372" i="38"/>
  <c r="S372" i="38"/>
  <c r="T372" i="38"/>
  <c r="U372" i="38"/>
  <c r="V372" i="38"/>
  <c r="W372" i="38"/>
  <c r="X372" i="38"/>
  <c r="Y372" i="38"/>
  <c r="Z372" i="38"/>
  <c r="F373" i="38"/>
  <c r="G373" i="38"/>
  <c r="H373" i="38"/>
  <c r="I373" i="38"/>
  <c r="J373" i="38"/>
  <c r="K373" i="38"/>
  <c r="L373" i="38"/>
  <c r="M373" i="38"/>
  <c r="N373" i="38"/>
  <c r="O373" i="38"/>
  <c r="P373" i="38"/>
  <c r="Q373" i="38"/>
  <c r="R373" i="38"/>
  <c r="S373" i="38"/>
  <c r="T373" i="38"/>
  <c r="U373" i="38"/>
  <c r="V373" i="38"/>
  <c r="W373" i="38"/>
  <c r="X373" i="38"/>
  <c r="Y373" i="38"/>
  <c r="Z373" i="38"/>
  <c r="L374" i="38"/>
  <c r="L375" i="38"/>
  <c r="F376" i="38"/>
  <c r="G376" i="38"/>
  <c r="H376" i="38"/>
  <c r="I376" i="38"/>
  <c r="J376" i="38"/>
  <c r="K376" i="38"/>
  <c r="L376" i="38"/>
  <c r="M376" i="38"/>
  <c r="N376" i="38"/>
  <c r="O376" i="38"/>
  <c r="P376" i="38"/>
  <c r="F377" i="38"/>
  <c r="G377" i="38"/>
  <c r="H377" i="38"/>
  <c r="I377" i="38"/>
  <c r="J377" i="38"/>
  <c r="K377" i="38"/>
  <c r="L377" i="38"/>
  <c r="M377" i="38"/>
  <c r="N377" i="38"/>
  <c r="O377" i="38"/>
  <c r="P377" i="38"/>
  <c r="P378" i="38"/>
  <c r="D380" i="38"/>
  <c r="F380" i="38"/>
  <c r="G380" i="38"/>
  <c r="H380" i="38"/>
  <c r="I380" i="38"/>
  <c r="J380" i="38"/>
  <c r="K380" i="38"/>
  <c r="L380" i="38"/>
  <c r="M380" i="38"/>
  <c r="N380" i="38"/>
  <c r="O380" i="38"/>
  <c r="P380" i="38"/>
  <c r="Q380" i="38"/>
  <c r="R380" i="38"/>
  <c r="S380" i="38"/>
  <c r="T380" i="38"/>
  <c r="U380" i="38"/>
  <c r="V380" i="38"/>
  <c r="W380" i="38"/>
  <c r="X380" i="38"/>
  <c r="Y380" i="38"/>
  <c r="Z380" i="38"/>
  <c r="D382" i="38"/>
  <c r="D383" i="38"/>
  <c r="K385" i="38"/>
  <c r="L385" i="38"/>
  <c r="M385" i="38"/>
  <c r="N385" i="38"/>
  <c r="O385" i="38"/>
  <c r="P385" i="38"/>
  <c r="D388" i="38"/>
  <c r="G388" i="38"/>
  <c r="H388" i="38"/>
  <c r="I388" i="38"/>
  <c r="J388" i="38"/>
  <c r="K388" i="38"/>
  <c r="L388" i="38"/>
  <c r="M388" i="38"/>
  <c r="N388" i="38"/>
  <c r="O388" i="38"/>
  <c r="P388" i="38"/>
  <c r="Q388" i="38"/>
  <c r="R388" i="38"/>
  <c r="S388" i="38"/>
  <c r="T388" i="38"/>
  <c r="U388" i="38"/>
  <c r="V388" i="38"/>
  <c r="W388" i="38"/>
  <c r="X388" i="38"/>
  <c r="Y388" i="38"/>
  <c r="Z388" i="38"/>
  <c r="D389" i="38"/>
  <c r="F389" i="38"/>
  <c r="G389" i="38"/>
  <c r="H389" i="38"/>
  <c r="I389" i="38"/>
  <c r="J389" i="38"/>
  <c r="K389" i="38"/>
  <c r="L389" i="38"/>
  <c r="M389" i="38"/>
  <c r="N389" i="38"/>
  <c r="O389" i="38"/>
  <c r="P389" i="38"/>
  <c r="Q389" i="38"/>
  <c r="R389" i="38"/>
  <c r="S389" i="38"/>
  <c r="T389" i="38"/>
  <c r="U389" i="38"/>
  <c r="V389" i="38"/>
  <c r="W389" i="38"/>
  <c r="X389" i="38"/>
  <c r="Y389" i="38"/>
  <c r="Z389" i="38"/>
  <c r="D390" i="38"/>
  <c r="F390" i="38"/>
  <c r="G390" i="38"/>
  <c r="H390" i="38"/>
  <c r="I390" i="38"/>
  <c r="J390" i="38"/>
  <c r="K390" i="38"/>
  <c r="L390" i="38"/>
  <c r="M390" i="38"/>
  <c r="N390" i="38"/>
  <c r="O390" i="38"/>
  <c r="P390" i="38"/>
  <c r="D391" i="38"/>
  <c r="J391" i="38"/>
  <c r="K391" i="38"/>
  <c r="L391" i="38"/>
  <c r="M391" i="38"/>
  <c r="N391" i="38"/>
  <c r="O391" i="38"/>
  <c r="P391" i="38"/>
  <c r="D392" i="38"/>
  <c r="F392" i="38"/>
  <c r="G392" i="38"/>
  <c r="H392" i="38"/>
  <c r="I392" i="38"/>
  <c r="J392" i="38"/>
  <c r="K392" i="38"/>
  <c r="L392" i="38"/>
  <c r="M392" i="38"/>
  <c r="N392" i="38"/>
  <c r="O392" i="38"/>
  <c r="P392" i="38"/>
  <c r="D393" i="38"/>
  <c r="P393" i="38"/>
  <c r="D394" i="38"/>
  <c r="P394" i="38"/>
  <c r="D395" i="38"/>
  <c r="F395" i="38"/>
  <c r="G395" i="38"/>
  <c r="H395" i="38"/>
  <c r="I395" i="38"/>
  <c r="J395" i="38"/>
  <c r="K395" i="38"/>
  <c r="L395" i="38"/>
  <c r="M395" i="38"/>
  <c r="N395" i="38"/>
  <c r="O395" i="38"/>
  <c r="P395" i="38"/>
  <c r="Q395" i="38"/>
  <c r="R395" i="38"/>
  <c r="S395" i="38"/>
  <c r="T395" i="38"/>
  <c r="U395" i="38"/>
  <c r="V395" i="38"/>
  <c r="W395" i="38"/>
  <c r="X395" i="38"/>
  <c r="Y395" i="38"/>
  <c r="Z395" i="38"/>
  <c r="F400" i="38"/>
  <c r="G400" i="38"/>
  <c r="H400" i="38"/>
  <c r="I400" i="38"/>
  <c r="J400" i="38"/>
  <c r="K400" i="38"/>
  <c r="L400" i="38"/>
  <c r="M400" i="38"/>
  <c r="N400" i="38"/>
  <c r="O400" i="38"/>
  <c r="P400" i="38"/>
  <c r="Q400" i="38"/>
  <c r="R400" i="38"/>
  <c r="S400" i="38"/>
  <c r="T400" i="38"/>
  <c r="U400" i="38"/>
  <c r="V400" i="38"/>
  <c r="W400" i="38"/>
  <c r="X400" i="38"/>
  <c r="Y400" i="38"/>
  <c r="Z400" i="38"/>
  <c r="F403" i="38"/>
  <c r="G403" i="38"/>
  <c r="H403" i="38"/>
  <c r="I403" i="38"/>
  <c r="J403" i="38"/>
  <c r="K403" i="38"/>
  <c r="L403" i="38"/>
  <c r="M403" i="38"/>
  <c r="N403" i="38"/>
  <c r="O403" i="38"/>
  <c r="P403" i="38"/>
  <c r="F404" i="38"/>
  <c r="G404" i="38"/>
  <c r="H404" i="38"/>
  <c r="I404" i="38"/>
  <c r="J404" i="38"/>
  <c r="K404" i="38"/>
  <c r="L404" i="38"/>
  <c r="M404" i="38"/>
  <c r="N404" i="38"/>
  <c r="O404" i="38"/>
  <c r="P404" i="38"/>
  <c r="I405" i="38"/>
  <c r="P405" i="38"/>
  <c r="P406" i="38"/>
  <c r="D407" i="38"/>
  <c r="F407" i="38"/>
  <c r="G407" i="38"/>
  <c r="H407" i="38"/>
  <c r="I407" i="38"/>
  <c r="J407" i="38"/>
  <c r="K407" i="38"/>
  <c r="L407" i="38"/>
  <c r="M407" i="38"/>
  <c r="N407" i="38"/>
  <c r="O407" i="38"/>
  <c r="P407" i="38"/>
  <c r="Q407" i="38"/>
  <c r="R407" i="38"/>
  <c r="S407" i="38"/>
  <c r="T407" i="38"/>
  <c r="U407" i="38"/>
  <c r="V407" i="38"/>
  <c r="W407" i="38"/>
  <c r="X407" i="38"/>
  <c r="Y407" i="38"/>
  <c r="Z407" i="38"/>
  <c r="D409" i="38"/>
  <c r="F412" i="38"/>
  <c r="G412" i="38"/>
  <c r="H412" i="38"/>
  <c r="I412" i="38"/>
  <c r="J412" i="38"/>
  <c r="K412" i="38"/>
  <c r="L412" i="38"/>
  <c r="M412" i="38"/>
  <c r="N412" i="38"/>
  <c r="O412" i="38"/>
  <c r="P412" i="38"/>
  <c r="Q412" i="38"/>
  <c r="R412" i="38"/>
  <c r="S412" i="38"/>
  <c r="T412" i="38"/>
  <c r="U412" i="38"/>
  <c r="V412" i="38"/>
  <c r="W412" i="38"/>
  <c r="X412" i="38"/>
  <c r="Y412" i="38"/>
  <c r="Z412" i="38"/>
  <c r="F413" i="38"/>
  <c r="G413" i="38"/>
  <c r="H413" i="38"/>
  <c r="I413" i="38"/>
  <c r="J413" i="38"/>
  <c r="K413" i="38"/>
  <c r="L413" i="38"/>
  <c r="M413" i="38"/>
  <c r="N413" i="38"/>
  <c r="O413" i="38"/>
  <c r="P413" i="38"/>
  <c r="Q413" i="38"/>
  <c r="R413" i="38"/>
  <c r="S413" i="38"/>
  <c r="T413" i="38"/>
  <c r="U413" i="38"/>
  <c r="V413" i="38"/>
  <c r="W413" i="38"/>
  <c r="X413" i="38"/>
  <c r="Y413" i="38"/>
  <c r="Z413" i="38"/>
  <c r="L414" i="38"/>
  <c r="L415" i="38"/>
  <c r="F416" i="38"/>
  <c r="G416" i="38"/>
  <c r="H416" i="38"/>
  <c r="I416" i="38"/>
  <c r="J416" i="38"/>
  <c r="K416" i="38"/>
  <c r="L416" i="38"/>
  <c r="M416" i="38"/>
  <c r="N416" i="38"/>
  <c r="O416" i="38"/>
  <c r="P416" i="38"/>
  <c r="F417" i="38"/>
  <c r="G417" i="38"/>
  <c r="H417" i="38"/>
  <c r="I417" i="38"/>
  <c r="J417" i="38"/>
  <c r="K417" i="38"/>
  <c r="L417" i="38"/>
  <c r="M417" i="38"/>
  <c r="N417" i="38"/>
  <c r="O417" i="38"/>
  <c r="P417" i="38"/>
  <c r="I418" i="38"/>
  <c r="P418" i="38"/>
  <c r="D420" i="38"/>
  <c r="F420" i="38"/>
  <c r="G420" i="38"/>
  <c r="H420" i="38"/>
  <c r="I420" i="38"/>
  <c r="J420" i="38"/>
  <c r="K420" i="38"/>
  <c r="L420" i="38"/>
  <c r="M420" i="38"/>
  <c r="N420" i="38"/>
  <c r="O420" i="38"/>
  <c r="P420" i="38"/>
  <c r="Q420" i="38"/>
  <c r="R420" i="38"/>
  <c r="S420" i="38"/>
  <c r="T420" i="38"/>
  <c r="U420" i="38"/>
  <c r="V420" i="38"/>
  <c r="W420" i="38"/>
  <c r="X420" i="38"/>
  <c r="Y420" i="38"/>
  <c r="Z420" i="38"/>
  <c r="D422" i="38"/>
  <c r="D423" i="38"/>
  <c r="K425" i="38"/>
  <c r="L425" i="38"/>
  <c r="M425" i="38"/>
  <c r="N425" i="38"/>
  <c r="O425" i="38"/>
  <c r="P425" i="38"/>
  <c r="D428" i="38"/>
  <c r="G428" i="38"/>
  <c r="H428" i="38"/>
  <c r="I428" i="38"/>
  <c r="J428" i="38"/>
  <c r="K428" i="38"/>
  <c r="L428" i="38"/>
  <c r="M428" i="38"/>
  <c r="N428" i="38"/>
  <c r="O428" i="38"/>
  <c r="P428" i="38"/>
  <c r="Q428" i="38"/>
  <c r="R428" i="38"/>
  <c r="S428" i="38"/>
  <c r="T428" i="38"/>
  <c r="U428" i="38"/>
  <c r="V428" i="38"/>
  <c r="W428" i="38"/>
  <c r="X428" i="38"/>
  <c r="Y428" i="38"/>
  <c r="Z428" i="38"/>
  <c r="D429" i="38"/>
  <c r="F429" i="38"/>
  <c r="G429" i="38"/>
  <c r="H429" i="38"/>
  <c r="I429" i="38"/>
  <c r="J429" i="38"/>
  <c r="K429" i="38"/>
  <c r="L429" i="38"/>
  <c r="M429" i="38"/>
  <c r="N429" i="38"/>
  <c r="O429" i="38"/>
  <c r="P429" i="38"/>
  <c r="Q429" i="38"/>
  <c r="R429" i="38"/>
  <c r="S429" i="38"/>
  <c r="T429" i="38"/>
  <c r="U429" i="38"/>
  <c r="V429" i="38"/>
  <c r="W429" i="38"/>
  <c r="X429" i="38"/>
  <c r="Y429" i="38"/>
  <c r="Z429" i="38"/>
  <c r="D430" i="38"/>
  <c r="F430" i="38"/>
  <c r="G430" i="38"/>
  <c r="H430" i="38"/>
  <c r="I430" i="38"/>
  <c r="J430" i="38"/>
  <c r="K430" i="38"/>
  <c r="L430" i="38"/>
  <c r="M430" i="38"/>
  <c r="N430" i="38"/>
  <c r="O430" i="38"/>
  <c r="P430" i="38"/>
  <c r="D431" i="38"/>
  <c r="J431" i="38"/>
  <c r="K431" i="38"/>
  <c r="L431" i="38"/>
  <c r="M431" i="38"/>
  <c r="N431" i="38"/>
  <c r="O431" i="38"/>
  <c r="P431" i="38"/>
  <c r="D432" i="38"/>
  <c r="F432" i="38"/>
  <c r="G432" i="38"/>
  <c r="H432" i="38"/>
  <c r="I432" i="38"/>
  <c r="J432" i="38"/>
  <c r="K432" i="38"/>
  <c r="L432" i="38"/>
  <c r="M432" i="38"/>
  <c r="N432" i="38"/>
  <c r="O432" i="38"/>
  <c r="P432" i="38"/>
  <c r="D433" i="38"/>
  <c r="I433" i="38"/>
  <c r="P433" i="38"/>
  <c r="D434" i="38"/>
  <c r="P434" i="38"/>
  <c r="D435" i="38"/>
  <c r="F435" i="38"/>
  <c r="G435" i="38"/>
  <c r="H435" i="38"/>
  <c r="I435" i="38"/>
  <c r="J435" i="38"/>
  <c r="K435" i="38"/>
  <c r="L435" i="38"/>
  <c r="M435" i="38"/>
  <c r="N435" i="38"/>
  <c r="O435" i="38"/>
  <c r="P435" i="38"/>
  <c r="Q435" i="38"/>
  <c r="R435" i="38"/>
  <c r="S435" i="38"/>
  <c r="T435" i="38"/>
  <c r="U435" i="38"/>
  <c r="V435" i="38"/>
  <c r="W435" i="38"/>
  <c r="X435" i="38"/>
  <c r="Y435" i="38"/>
  <c r="Z435" i="38"/>
  <c r="E8" i="40"/>
  <c r="F23" i="40"/>
  <c r="G23" i="40"/>
  <c r="H23" i="40"/>
  <c r="I23" i="40"/>
  <c r="J23" i="40"/>
  <c r="K23" i="40"/>
  <c r="L23" i="40"/>
  <c r="M23" i="40"/>
  <c r="N23" i="40"/>
  <c r="O23" i="40"/>
  <c r="P23" i="40"/>
  <c r="Q23" i="40"/>
  <c r="R23" i="40"/>
  <c r="S23" i="40"/>
  <c r="T23" i="40"/>
  <c r="U23" i="40"/>
  <c r="V23" i="40"/>
  <c r="W23" i="40"/>
  <c r="X23" i="40"/>
  <c r="Y23" i="40"/>
  <c r="Z23" i="40"/>
  <c r="F24" i="40"/>
  <c r="G24" i="40"/>
  <c r="H24" i="40"/>
  <c r="I24" i="40"/>
  <c r="J24" i="40"/>
  <c r="K24" i="40"/>
  <c r="L24" i="40"/>
  <c r="M24" i="40"/>
  <c r="N24" i="40"/>
  <c r="O24" i="40"/>
  <c r="P24" i="40"/>
  <c r="Q24" i="40"/>
  <c r="R24" i="40"/>
  <c r="S24" i="40"/>
  <c r="T24" i="40"/>
  <c r="U24" i="40"/>
  <c r="V24" i="40"/>
  <c r="W24" i="40"/>
  <c r="X24" i="40"/>
  <c r="Y24" i="40"/>
  <c r="Z24" i="40"/>
  <c r="F26" i="40"/>
  <c r="G26" i="40"/>
  <c r="H26" i="40"/>
  <c r="I26" i="40"/>
  <c r="J26" i="40"/>
  <c r="K26" i="40"/>
  <c r="L26" i="40"/>
  <c r="M26" i="40"/>
  <c r="N26" i="40"/>
  <c r="O26" i="40"/>
  <c r="P26" i="40"/>
  <c r="Q26" i="40"/>
  <c r="R26" i="40"/>
  <c r="S26" i="40"/>
  <c r="T26" i="40"/>
  <c r="U26" i="40"/>
  <c r="V26" i="40"/>
  <c r="W26" i="40"/>
  <c r="X26" i="40"/>
  <c r="Y26" i="40"/>
  <c r="Z26" i="40"/>
  <c r="F27" i="40"/>
  <c r="G27" i="40"/>
  <c r="H27" i="40"/>
  <c r="I27" i="40"/>
  <c r="J27" i="40"/>
  <c r="K27" i="40"/>
  <c r="L27" i="40"/>
  <c r="M27" i="40"/>
  <c r="N27" i="40"/>
  <c r="O27" i="40"/>
  <c r="P27" i="40"/>
  <c r="Q27" i="40"/>
  <c r="R27" i="40"/>
  <c r="S27" i="40"/>
  <c r="T27" i="40"/>
  <c r="U27" i="40"/>
  <c r="V27" i="40"/>
  <c r="W27" i="40"/>
  <c r="X27" i="40"/>
  <c r="Y27" i="40"/>
  <c r="Z27" i="40"/>
  <c r="F28" i="40"/>
  <c r="G28" i="40"/>
  <c r="H28" i="40"/>
  <c r="I28" i="40"/>
  <c r="J28" i="40"/>
  <c r="K28" i="40"/>
  <c r="L28" i="40"/>
  <c r="M28" i="40"/>
  <c r="N28" i="40"/>
  <c r="O28" i="40"/>
  <c r="P28" i="40"/>
  <c r="Q28" i="40"/>
  <c r="R28" i="40"/>
  <c r="S28" i="40"/>
  <c r="T28" i="40"/>
  <c r="U28" i="40"/>
  <c r="V28" i="40"/>
  <c r="W28" i="40"/>
  <c r="X28" i="40"/>
  <c r="Y28" i="40"/>
  <c r="Z28" i="40"/>
  <c r="F46" i="40"/>
  <c r="G46" i="40"/>
  <c r="H46" i="40"/>
  <c r="I46" i="40"/>
  <c r="J46" i="40"/>
  <c r="K46" i="40"/>
  <c r="L46" i="40"/>
  <c r="M46" i="40"/>
  <c r="N46" i="40"/>
  <c r="O46" i="40"/>
  <c r="P46" i="40"/>
  <c r="Q46" i="40"/>
  <c r="R46" i="40"/>
  <c r="S46" i="40"/>
  <c r="T46" i="40"/>
  <c r="U46" i="40"/>
  <c r="V46" i="40"/>
  <c r="W46" i="40"/>
  <c r="X46" i="40"/>
  <c r="Y46" i="40"/>
  <c r="Z46" i="40"/>
  <c r="F47" i="40"/>
  <c r="G47" i="40"/>
  <c r="H47" i="40"/>
  <c r="I47" i="40"/>
  <c r="J47" i="40"/>
  <c r="K47" i="40"/>
  <c r="L47" i="40"/>
  <c r="M47" i="40"/>
  <c r="N47" i="40"/>
  <c r="O47" i="40"/>
  <c r="P47" i="40"/>
  <c r="Q47" i="40"/>
  <c r="R47" i="40"/>
  <c r="S47" i="40"/>
  <c r="T47" i="40"/>
  <c r="U47" i="40"/>
  <c r="V47" i="40"/>
  <c r="W47" i="40"/>
  <c r="X47" i="40"/>
  <c r="Y47" i="40"/>
  <c r="Z47" i="40"/>
  <c r="F49" i="40"/>
  <c r="G49" i="40"/>
  <c r="H49" i="40"/>
  <c r="I49" i="40"/>
  <c r="J49" i="40"/>
  <c r="K49" i="40"/>
  <c r="L49" i="40"/>
  <c r="M49" i="40"/>
  <c r="N49" i="40"/>
  <c r="O49" i="40"/>
  <c r="P49" i="40"/>
  <c r="Q49" i="40"/>
  <c r="R49" i="40"/>
  <c r="S49" i="40"/>
  <c r="T49" i="40"/>
  <c r="U49" i="40"/>
  <c r="V49" i="40"/>
  <c r="W49" i="40"/>
  <c r="X49" i="40"/>
  <c r="Y49" i="40"/>
  <c r="Z49" i="40"/>
  <c r="F50" i="40"/>
  <c r="G50" i="40"/>
  <c r="H50" i="40"/>
  <c r="I50" i="40"/>
  <c r="J50" i="40"/>
  <c r="K50" i="40"/>
  <c r="L50" i="40"/>
  <c r="M50" i="40"/>
  <c r="N50" i="40"/>
  <c r="O50" i="40"/>
  <c r="P50" i="40"/>
  <c r="Q50" i="40"/>
  <c r="R50" i="40"/>
  <c r="S50" i="40"/>
  <c r="T50" i="40"/>
  <c r="U50" i="40"/>
  <c r="V50" i="40"/>
  <c r="W50" i="40"/>
  <c r="X50" i="40"/>
  <c r="Y50" i="40"/>
  <c r="Z50" i="40"/>
  <c r="F51" i="40"/>
  <c r="G51" i="40"/>
  <c r="H51" i="40"/>
  <c r="I51" i="40"/>
  <c r="J51" i="40"/>
  <c r="K51" i="40"/>
  <c r="L51" i="40"/>
  <c r="M51" i="40"/>
  <c r="N51" i="40"/>
  <c r="O51" i="40"/>
  <c r="P51" i="40"/>
  <c r="Q51" i="40"/>
  <c r="R51" i="40"/>
  <c r="S51" i="40"/>
  <c r="T51" i="40"/>
  <c r="U51" i="40"/>
  <c r="V51" i="40"/>
  <c r="W51" i="40"/>
  <c r="X51" i="40"/>
  <c r="Y51" i="40"/>
  <c r="Z51" i="40"/>
  <c r="F63" i="40"/>
  <c r="G63" i="40"/>
  <c r="H63" i="40"/>
  <c r="I63" i="40"/>
  <c r="J63" i="40"/>
  <c r="K63" i="40"/>
  <c r="L63" i="40"/>
  <c r="M63" i="40"/>
  <c r="N63" i="40"/>
  <c r="O63" i="40"/>
  <c r="P63" i="40"/>
  <c r="Q63" i="40"/>
  <c r="R63" i="40"/>
  <c r="S63" i="40"/>
  <c r="T63" i="40"/>
  <c r="U63" i="40"/>
  <c r="V63" i="40"/>
  <c r="W63" i="40"/>
  <c r="X63" i="40"/>
  <c r="Y63" i="40"/>
  <c r="Z63" i="40"/>
  <c r="F64" i="40"/>
  <c r="G64" i="40"/>
  <c r="H64" i="40"/>
  <c r="I64" i="40"/>
  <c r="J64" i="40"/>
  <c r="K64" i="40"/>
  <c r="L64" i="40"/>
  <c r="M64" i="40"/>
  <c r="N64" i="40"/>
  <c r="O64" i="40"/>
  <c r="P64" i="40"/>
  <c r="Q64" i="40"/>
  <c r="R64" i="40"/>
  <c r="S64" i="40"/>
  <c r="T64" i="40"/>
  <c r="U64" i="40"/>
  <c r="V64" i="40"/>
  <c r="W64" i="40"/>
  <c r="X64" i="40"/>
  <c r="Y64" i="40"/>
  <c r="Z64" i="40"/>
  <c r="F67" i="40"/>
  <c r="G67" i="40"/>
  <c r="H67" i="40"/>
  <c r="I67" i="40"/>
  <c r="J67" i="40"/>
  <c r="K67" i="40"/>
  <c r="L67" i="40"/>
  <c r="M67" i="40"/>
  <c r="N67" i="40"/>
  <c r="O67" i="40"/>
  <c r="P67" i="40"/>
  <c r="Q67" i="40"/>
  <c r="R67" i="40"/>
  <c r="S67" i="40"/>
  <c r="T67" i="40"/>
  <c r="U67" i="40"/>
  <c r="V67" i="40"/>
  <c r="W67" i="40"/>
  <c r="X67" i="40"/>
  <c r="Y67" i="40"/>
  <c r="Z67" i="40"/>
  <c r="F68" i="40"/>
  <c r="G68" i="40"/>
  <c r="H68" i="40"/>
  <c r="I68" i="40"/>
  <c r="J68" i="40"/>
  <c r="K68" i="40"/>
  <c r="L68" i="40"/>
  <c r="M68" i="40"/>
  <c r="N68" i="40"/>
  <c r="O68" i="40"/>
  <c r="P68" i="40"/>
  <c r="Q68" i="40"/>
  <c r="R68" i="40"/>
  <c r="S68" i="40"/>
  <c r="T68" i="40"/>
  <c r="U68" i="40"/>
  <c r="V68" i="40"/>
  <c r="W68" i="40"/>
  <c r="X68" i="40"/>
  <c r="Y68" i="40"/>
  <c r="Z68" i="40"/>
  <c r="F70" i="40"/>
  <c r="G70" i="40"/>
  <c r="H70" i="40"/>
  <c r="I70" i="40"/>
  <c r="J70" i="40"/>
  <c r="K70" i="40"/>
  <c r="L70" i="40"/>
  <c r="M70" i="40"/>
  <c r="N70" i="40"/>
  <c r="O70" i="40"/>
  <c r="P70" i="40"/>
  <c r="Q70" i="40"/>
  <c r="R70" i="40"/>
  <c r="S70" i="40"/>
  <c r="T70" i="40"/>
  <c r="U70" i="40"/>
  <c r="V70" i="40"/>
  <c r="W70" i="40"/>
  <c r="X70" i="40"/>
  <c r="Y70" i="40"/>
  <c r="Z70" i="40"/>
  <c r="F71" i="40"/>
  <c r="G71" i="40"/>
  <c r="H71" i="40"/>
  <c r="I71" i="40"/>
  <c r="J71" i="40"/>
  <c r="K71" i="40"/>
  <c r="L71" i="40"/>
  <c r="M71" i="40"/>
  <c r="N71" i="40"/>
  <c r="O71" i="40"/>
  <c r="P71" i="40"/>
  <c r="Q71" i="40"/>
  <c r="R71" i="40"/>
  <c r="S71" i="40"/>
  <c r="T71" i="40"/>
  <c r="U71" i="40"/>
  <c r="V71" i="40"/>
  <c r="W71" i="40"/>
  <c r="X71" i="40"/>
  <c r="Y71" i="40"/>
  <c r="Z71" i="40"/>
  <c r="F72" i="40"/>
  <c r="G72" i="40"/>
  <c r="H72" i="40"/>
  <c r="I72" i="40"/>
  <c r="J72" i="40"/>
  <c r="K72" i="40"/>
  <c r="L72" i="40"/>
  <c r="M72" i="40"/>
  <c r="N72" i="40"/>
  <c r="O72" i="40"/>
  <c r="P72" i="40"/>
  <c r="Q72" i="40"/>
  <c r="R72" i="40"/>
  <c r="S72" i="40"/>
  <c r="T72" i="40"/>
  <c r="U72" i="40"/>
  <c r="V72" i="40"/>
  <c r="W72" i="40"/>
  <c r="X72" i="40"/>
  <c r="Y72" i="40"/>
  <c r="Z72" i="40"/>
  <c r="F84" i="40"/>
  <c r="G84" i="40"/>
  <c r="H84" i="40"/>
  <c r="I84" i="40"/>
  <c r="J84" i="40"/>
  <c r="K84" i="40"/>
  <c r="L84" i="40"/>
  <c r="M84" i="40"/>
  <c r="N84" i="40"/>
  <c r="O84" i="40"/>
  <c r="P84" i="40"/>
  <c r="Q84" i="40"/>
  <c r="R84" i="40"/>
  <c r="S84" i="40"/>
  <c r="T84" i="40"/>
  <c r="U84" i="40"/>
  <c r="V84" i="40"/>
  <c r="W84" i="40"/>
  <c r="X84" i="40"/>
  <c r="Y84" i="40"/>
  <c r="Z84" i="40"/>
  <c r="F85" i="40"/>
  <c r="G85" i="40"/>
  <c r="H85" i="40"/>
  <c r="I85" i="40"/>
  <c r="J85" i="40"/>
  <c r="K85" i="40"/>
  <c r="L85" i="40"/>
  <c r="M85" i="40"/>
  <c r="N85" i="40"/>
  <c r="O85" i="40"/>
  <c r="P85" i="40"/>
  <c r="Q85" i="40"/>
  <c r="R85" i="40"/>
  <c r="S85" i="40"/>
  <c r="T85" i="40"/>
  <c r="U85" i="40"/>
  <c r="V85" i="40"/>
  <c r="W85" i="40"/>
  <c r="X85" i="40"/>
  <c r="Y85" i="40"/>
  <c r="Z85" i="40"/>
  <c r="F88" i="40"/>
  <c r="G88" i="40"/>
  <c r="H88" i="40"/>
  <c r="I88" i="40"/>
  <c r="J88" i="40"/>
  <c r="K88" i="40"/>
  <c r="L88" i="40"/>
  <c r="M88" i="40"/>
  <c r="N88" i="40"/>
  <c r="O88" i="40"/>
  <c r="P88" i="40"/>
  <c r="Q88" i="40"/>
  <c r="R88" i="40"/>
  <c r="S88" i="40"/>
  <c r="T88" i="40"/>
  <c r="U88" i="40"/>
  <c r="V88" i="40"/>
  <c r="W88" i="40"/>
  <c r="X88" i="40"/>
  <c r="Y88" i="40"/>
  <c r="Z88" i="40"/>
  <c r="F89" i="40"/>
  <c r="G89" i="40"/>
  <c r="H89" i="40"/>
  <c r="I89" i="40"/>
  <c r="J89" i="40"/>
  <c r="K89" i="40"/>
  <c r="L89" i="40"/>
  <c r="M89" i="40"/>
  <c r="N89" i="40"/>
  <c r="O89" i="40"/>
  <c r="P89" i="40"/>
  <c r="Q89" i="40"/>
  <c r="R89" i="40"/>
  <c r="S89" i="40"/>
  <c r="T89" i="40"/>
  <c r="U89" i="40"/>
  <c r="V89" i="40"/>
  <c r="W89" i="40"/>
  <c r="X89" i="40"/>
  <c r="Y89" i="40"/>
  <c r="Z89" i="40"/>
  <c r="F91" i="40"/>
  <c r="G91" i="40"/>
  <c r="H91" i="40"/>
  <c r="I91" i="40"/>
  <c r="J91" i="40"/>
  <c r="K91" i="40"/>
  <c r="L91" i="40"/>
  <c r="M91" i="40"/>
  <c r="N91" i="40"/>
  <c r="O91" i="40"/>
  <c r="P91" i="40"/>
  <c r="Q91" i="40"/>
  <c r="R91" i="40"/>
  <c r="S91" i="40"/>
  <c r="T91" i="40"/>
  <c r="U91" i="40"/>
  <c r="V91" i="40"/>
  <c r="W91" i="40"/>
  <c r="X91" i="40"/>
  <c r="Y91" i="40"/>
  <c r="Z91" i="40"/>
  <c r="F92" i="40"/>
  <c r="G92" i="40"/>
  <c r="H92" i="40"/>
  <c r="I92" i="40"/>
  <c r="J92" i="40"/>
  <c r="K92" i="40"/>
  <c r="L92" i="40"/>
  <c r="M92" i="40"/>
  <c r="N92" i="40"/>
  <c r="O92" i="40"/>
  <c r="P92" i="40"/>
  <c r="Q92" i="40"/>
  <c r="R92" i="40"/>
  <c r="S92" i="40"/>
  <c r="T92" i="40"/>
  <c r="U92" i="40"/>
  <c r="V92" i="40"/>
  <c r="W92" i="40"/>
  <c r="X92" i="40"/>
  <c r="Y92" i="40"/>
  <c r="Z92" i="40"/>
  <c r="F93" i="40"/>
  <c r="G93" i="40"/>
  <c r="H93" i="40"/>
  <c r="I93" i="40"/>
  <c r="J93" i="40"/>
  <c r="K93" i="40"/>
  <c r="L93" i="40"/>
  <c r="M93" i="40"/>
  <c r="N93" i="40"/>
  <c r="O93" i="40"/>
  <c r="P93" i="40"/>
  <c r="Q93" i="40"/>
  <c r="R93" i="40"/>
  <c r="S93" i="40"/>
  <c r="T93" i="40"/>
  <c r="U93" i="40"/>
  <c r="V93" i="40"/>
  <c r="W93" i="40"/>
  <c r="X93" i="40"/>
  <c r="Y93" i="40"/>
  <c r="Z93" i="40"/>
  <c r="F105" i="40"/>
  <c r="G105" i="40"/>
  <c r="H105" i="40"/>
  <c r="I105" i="40"/>
  <c r="J105" i="40"/>
  <c r="K105" i="40"/>
  <c r="L105" i="40"/>
  <c r="M105" i="40"/>
  <c r="N105" i="40"/>
  <c r="O105" i="40"/>
  <c r="P105" i="40"/>
  <c r="Q105" i="40"/>
  <c r="R105" i="40"/>
  <c r="S105" i="40"/>
  <c r="T105" i="40"/>
  <c r="U105" i="40"/>
  <c r="V105" i="40"/>
  <c r="W105" i="40"/>
  <c r="X105" i="40"/>
  <c r="Y105" i="40"/>
  <c r="Z105" i="40"/>
  <c r="F106" i="40"/>
  <c r="G106" i="40"/>
  <c r="H106" i="40"/>
  <c r="I106" i="40"/>
  <c r="J106" i="40"/>
  <c r="K106" i="40"/>
  <c r="L106" i="40"/>
  <c r="M106" i="40"/>
  <c r="N106" i="40"/>
  <c r="O106" i="40"/>
  <c r="P106" i="40"/>
  <c r="Q106" i="40"/>
  <c r="R106" i="40"/>
  <c r="S106" i="40"/>
  <c r="T106" i="40"/>
  <c r="U106" i="40"/>
  <c r="V106" i="40"/>
  <c r="W106" i="40"/>
  <c r="X106" i="40"/>
  <c r="Y106" i="40"/>
  <c r="Z106" i="40"/>
  <c r="F109" i="40"/>
  <c r="G109" i="40"/>
  <c r="H109" i="40"/>
  <c r="I109" i="40"/>
  <c r="J109" i="40"/>
  <c r="K109" i="40"/>
  <c r="L109" i="40"/>
  <c r="M109" i="40"/>
  <c r="N109" i="40"/>
  <c r="O109" i="40"/>
  <c r="P109" i="40"/>
  <c r="Q109" i="40"/>
  <c r="R109" i="40"/>
  <c r="S109" i="40"/>
  <c r="T109" i="40"/>
  <c r="U109" i="40"/>
  <c r="V109" i="40"/>
  <c r="W109" i="40"/>
  <c r="X109" i="40"/>
  <c r="Y109" i="40"/>
  <c r="Z109" i="40"/>
  <c r="F110" i="40"/>
  <c r="G110" i="40"/>
  <c r="H110" i="40"/>
  <c r="I110" i="40"/>
  <c r="J110" i="40"/>
  <c r="K110" i="40"/>
  <c r="L110" i="40"/>
  <c r="M110" i="40"/>
  <c r="N110" i="40"/>
  <c r="O110" i="40"/>
  <c r="P110" i="40"/>
  <c r="Q110" i="40"/>
  <c r="R110" i="40"/>
  <c r="S110" i="40"/>
  <c r="T110" i="40"/>
  <c r="U110" i="40"/>
  <c r="V110" i="40"/>
  <c r="W110" i="40"/>
  <c r="X110" i="40"/>
  <c r="Y110" i="40"/>
  <c r="Z110" i="40"/>
  <c r="F112" i="40"/>
  <c r="G112" i="40"/>
  <c r="H112" i="40"/>
  <c r="I112" i="40"/>
  <c r="J112" i="40"/>
  <c r="K112" i="40"/>
  <c r="L112" i="40"/>
  <c r="M112" i="40"/>
  <c r="N112" i="40"/>
  <c r="O112" i="40"/>
  <c r="P112" i="40"/>
  <c r="Q112" i="40"/>
  <c r="R112" i="40"/>
  <c r="S112" i="40"/>
  <c r="T112" i="40"/>
  <c r="U112" i="40"/>
  <c r="V112" i="40"/>
  <c r="W112" i="40"/>
  <c r="X112" i="40"/>
  <c r="Y112" i="40"/>
  <c r="Z112" i="40"/>
  <c r="F113" i="40"/>
  <c r="G113" i="40"/>
  <c r="H113" i="40"/>
  <c r="I113" i="40"/>
  <c r="J113" i="40"/>
  <c r="K113" i="40"/>
  <c r="L113" i="40"/>
  <c r="M113" i="40"/>
  <c r="N113" i="40"/>
  <c r="O113" i="40"/>
  <c r="P113" i="40"/>
  <c r="Q113" i="40"/>
  <c r="R113" i="40"/>
  <c r="S113" i="40"/>
  <c r="T113" i="40"/>
  <c r="U113" i="40"/>
  <c r="V113" i="40"/>
  <c r="W113" i="40"/>
  <c r="X113" i="40"/>
  <c r="Y113" i="40"/>
  <c r="Z113" i="40"/>
  <c r="F114" i="40"/>
  <c r="G114" i="40"/>
  <c r="H114" i="40"/>
  <c r="I114" i="40"/>
  <c r="J114" i="40"/>
  <c r="K114" i="40"/>
  <c r="L114" i="40"/>
  <c r="M114" i="40"/>
  <c r="N114" i="40"/>
  <c r="O114" i="40"/>
  <c r="P114" i="40"/>
  <c r="Q114" i="40"/>
  <c r="R114" i="40"/>
  <c r="S114" i="40"/>
  <c r="T114" i="40"/>
  <c r="U114" i="40"/>
  <c r="V114" i="40"/>
  <c r="W114" i="40"/>
  <c r="X114" i="40"/>
  <c r="Y114" i="40"/>
  <c r="Z114" i="40"/>
  <c r="F131" i="40"/>
  <c r="G131" i="40"/>
  <c r="H131" i="40"/>
  <c r="I131" i="40"/>
  <c r="J131" i="40"/>
  <c r="K131" i="40"/>
  <c r="L131" i="40"/>
  <c r="M131" i="40"/>
  <c r="N131" i="40"/>
  <c r="O131" i="40"/>
  <c r="P131" i="40"/>
  <c r="Q131" i="40"/>
  <c r="R131" i="40"/>
  <c r="S131" i="40"/>
  <c r="T131" i="40"/>
  <c r="U131" i="40"/>
  <c r="V131" i="40"/>
  <c r="W131" i="40"/>
  <c r="X131" i="40"/>
  <c r="Y131" i="40"/>
  <c r="Z131" i="40"/>
  <c r="F132" i="40"/>
  <c r="G132" i="40"/>
  <c r="H132" i="40"/>
  <c r="I132" i="40"/>
  <c r="J132" i="40"/>
  <c r="K132" i="40"/>
  <c r="L132" i="40"/>
  <c r="M132" i="40"/>
  <c r="N132" i="40"/>
  <c r="O132" i="40"/>
  <c r="P132" i="40"/>
  <c r="Q132" i="40"/>
  <c r="R132" i="40"/>
  <c r="S132" i="40"/>
  <c r="T132" i="40"/>
  <c r="U132" i="40"/>
  <c r="V132" i="40"/>
  <c r="W132" i="40"/>
  <c r="X132" i="40"/>
  <c r="Y132" i="40"/>
  <c r="Z132" i="40"/>
  <c r="F134" i="40"/>
  <c r="G134" i="40"/>
  <c r="H134" i="40"/>
  <c r="I134" i="40"/>
  <c r="J134" i="40"/>
  <c r="K134" i="40"/>
  <c r="L134" i="40"/>
  <c r="M134" i="40"/>
  <c r="N134" i="40"/>
  <c r="O134" i="40"/>
  <c r="P134" i="40"/>
  <c r="Q134" i="40"/>
  <c r="R134" i="40"/>
  <c r="S134" i="40"/>
  <c r="T134" i="40"/>
  <c r="U134" i="40"/>
  <c r="V134" i="40"/>
  <c r="W134" i="40"/>
  <c r="X134" i="40"/>
  <c r="Y134" i="40"/>
  <c r="Z134" i="40"/>
  <c r="F135" i="40"/>
  <c r="G135" i="40"/>
  <c r="H135" i="40"/>
  <c r="I135" i="40"/>
  <c r="J135" i="40"/>
  <c r="K135" i="40"/>
  <c r="L135" i="40"/>
  <c r="M135" i="40"/>
  <c r="N135" i="40"/>
  <c r="O135" i="40"/>
  <c r="P135" i="40"/>
  <c r="Q135" i="40"/>
  <c r="R135" i="40"/>
  <c r="S135" i="40"/>
  <c r="T135" i="40"/>
  <c r="U135" i="40"/>
  <c r="V135" i="40"/>
  <c r="W135" i="40"/>
  <c r="X135" i="40"/>
  <c r="Y135" i="40"/>
  <c r="Z135" i="40"/>
  <c r="F136" i="40"/>
  <c r="G136" i="40"/>
  <c r="H136" i="40"/>
  <c r="I136" i="40"/>
  <c r="J136" i="40"/>
  <c r="K136" i="40"/>
  <c r="L136" i="40"/>
  <c r="M136" i="40"/>
  <c r="N136" i="40"/>
  <c r="O136" i="40"/>
  <c r="P136" i="40"/>
  <c r="Q136" i="40"/>
  <c r="R136" i="40"/>
  <c r="S136" i="40"/>
  <c r="T136" i="40"/>
  <c r="U136" i="40"/>
  <c r="V136" i="40"/>
  <c r="W136" i="40"/>
  <c r="X136" i="40"/>
  <c r="Y136" i="40"/>
  <c r="Z136" i="40"/>
  <c r="F138" i="40"/>
  <c r="G138" i="40"/>
  <c r="H138" i="40"/>
  <c r="I138" i="40"/>
  <c r="J138" i="40"/>
  <c r="K138" i="40"/>
  <c r="L138" i="40"/>
  <c r="M138" i="40"/>
  <c r="N138" i="40"/>
  <c r="O138" i="40"/>
  <c r="P138" i="40"/>
  <c r="Q138" i="40"/>
  <c r="R138" i="40"/>
  <c r="S138" i="40"/>
  <c r="T138" i="40"/>
  <c r="U138" i="40"/>
  <c r="V138" i="40"/>
  <c r="W138" i="40"/>
  <c r="X138" i="40"/>
  <c r="Y138" i="40"/>
  <c r="Z138" i="40"/>
  <c r="G141" i="40"/>
  <c r="H141" i="40"/>
  <c r="I141" i="40"/>
  <c r="J141" i="40"/>
  <c r="K141" i="40"/>
  <c r="L141" i="40"/>
  <c r="M141" i="40"/>
  <c r="N141" i="40"/>
  <c r="O141" i="40"/>
  <c r="P141" i="40"/>
  <c r="Q141" i="40"/>
  <c r="R141" i="40"/>
  <c r="S141" i="40"/>
  <c r="T141" i="40"/>
  <c r="U141" i="40"/>
  <c r="V141" i="40"/>
  <c r="W141" i="40"/>
  <c r="X141" i="40"/>
  <c r="Y141" i="40"/>
  <c r="Z141" i="40"/>
  <c r="I142" i="40"/>
  <c r="F143" i="40"/>
  <c r="G143" i="40"/>
  <c r="H143" i="40"/>
  <c r="I143" i="40"/>
  <c r="J143" i="40"/>
  <c r="K143" i="40"/>
  <c r="L143" i="40"/>
  <c r="M143" i="40"/>
  <c r="N143" i="40"/>
  <c r="O143" i="40"/>
  <c r="P143" i="40"/>
  <c r="Q143" i="40"/>
  <c r="R143" i="40"/>
  <c r="S143" i="40"/>
  <c r="T143" i="40"/>
  <c r="U143" i="40"/>
  <c r="V143" i="40"/>
  <c r="W143" i="40"/>
  <c r="X143" i="40"/>
  <c r="Y143" i="40"/>
  <c r="Z143" i="40"/>
  <c r="F144" i="40"/>
  <c r="G144" i="40"/>
  <c r="H144" i="40"/>
  <c r="I144" i="40"/>
  <c r="J144" i="40"/>
  <c r="K144" i="40"/>
  <c r="L144" i="40"/>
  <c r="M144" i="40"/>
  <c r="N144" i="40"/>
  <c r="O144" i="40"/>
  <c r="P144" i="40"/>
  <c r="Q144" i="40"/>
  <c r="R144" i="40"/>
  <c r="S144" i="40"/>
  <c r="T144" i="40"/>
  <c r="U144" i="40"/>
  <c r="V144" i="40"/>
  <c r="W144" i="40"/>
  <c r="X144" i="40"/>
  <c r="Y144" i="40"/>
  <c r="Z144" i="40"/>
  <c r="F146" i="40"/>
  <c r="G146" i="40"/>
  <c r="H146" i="40"/>
  <c r="I146" i="40"/>
  <c r="J146" i="40"/>
  <c r="K146" i="40"/>
  <c r="L146" i="40"/>
  <c r="M146" i="40"/>
  <c r="N146" i="40"/>
  <c r="O146" i="40"/>
  <c r="P146" i="40"/>
  <c r="Q146" i="40"/>
  <c r="R146" i="40"/>
  <c r="S146" i="40"/>
  <c r="T146" i="40"/>
  <c r="U146" i="40"/>
  <c r="V146" i="40"/>
  <c r="W146" i="40"/>
  <c r="X146" i="40"/>
  <c r="Y146" i="40"/>
  <c r="Z146" i="40"/>
  <c r="F147" i="40"/>
  <c r="G147" i="40"/>
  <c r="H147" i="40"/>
  <c r="I147" i="40"/>
  <c r="J147" i="40"/>
  <c r="K147" i="40"/>
  <c r="L147" i="40"/>
  <c r="M147" i="40"/>
  <c r="N147" i="40"/>
  <c r="O147" i="40"/>
  <c r="P147" i="40"/>
  <c r="Q147" i="40"/>
  <c r="R147" i="40"/>
  <c r="S147" i="40"/>
  <c r="T147" i="40"/>
  <c r="U147" i="40"/>
  <c r="V147" i="40"/>
  <c r="W147" i="40"/>
  <c r="X147" i="40"/>
  <c r="Y147" i="40"/>
  <c r="Z147" i="40"/>
  <c r="F148" i="40"/>
  <c r="G148" i="40"/>
  <c r="H148" i="40"/>
  <c r="I148" i="40"/>
  <c r="J148" i="40"/>
  <c r="K148" i="40"/>
  <c r="L148" i="40"/>
  <c r="M148" i="40"/>
  <c r="N148" i="40"/>
  <c r="O148" i="40"/>
  <c r="P148" i="40"/>
  <c r="Q148" i="40"/>
  <c r="R148" i="40"/>
  <c r="S148" i="40"/>
  <c r="T148" i="40"/>
  <c r="U148" i="40"/>
  <c r="V148" i="40"/>
  <c r="W148" i="40"/>
  <c r="X148" i="40"/>
  <c r="Y148" i="40"/>
  <c r="Z148" i="40"/>
  <c r="I150" i="40"/>
  <c r="F152" i="40"/>
  <c r="G152" i="40"/>
  <c r="H152" i="40"/>
  <c r="I152" i="40"/>
  <c r="J152" i="40"/>
  <c r="K152" i="40"/>
  <c r="L152" i="40"/>
  <c r="M152" i="40"/>
  <c r="N152" i="40"/>
  <c r="O152" i="40"/>
  <c r="P152" i="40"/>
  <c r="Q152" i="40"/>
  <c r="R152" i="40"/>
  <c r="S152" i="40"/>
  <c r="T152" i="40"/>
  <c r="U152" i="40"/>
  <c r="V152" i="40"/>
  <c r="W152" i="40"/>
  <c r="X152" i="40"/>
  <c r="Y152" i="40"/>
  <c r="Z152" i="40"/>
  <c r="N155" i="40"/>
  <c r="I156" i="40"/>
  <c r="N157" i="40"/>
  <c r="N158" i="40"/>
  <c r="I159" i="40"/>
  <c r="N159" i="40"/>
  <c r="F162" i="40"/>
  <c r="G162" i="40"/>
  <c r="H162" i="40"/>
  <c r="I162" i="40"/>
  <c r="J162" i="40"/>
  <c r="K162" i="40"/>
  <c r="L162" i="40"/>
  <c r="M162" i="40"/>
  <c r="N162" i="40"/>
  <c r="D196" i="40"/>
  <c r="F196" i="40"/>
  <c r="G196" i="40"/>
  <c r="H196" i="40"/>
  <c r="I196" i="40"/>
  <c r="J196" i="40"/>
  <c r="K196" i="40"/>
  <c r="L196" i="40"/>
  <c r="M196" i="40"/>
  <c r="N196" i="40"/>
  <c r="O196" i="40"/>
  <c r="P196" i="40"/>
  <c r="Q196" i="40"/>
  <c r="R196" i="40"/>
  <c r="S196" i="40"/>
  <c r="T196" i="40"/>
  <c r="U196" i="40"/>
  <c r="V196" i="40"/>
  <c r="W196" i="40"/>
  <c r="X196" i="40"/>
  <c r="Y196" i="40"/>
  <c r="Z196" i="40"/>
  <c r="F200" i="40"/>
  <c r="G200" i="40"/>
  <c r="H200" i="40"/>
  <c r="I200" i="40"/>
  <c r="J200" i="40"/>
  <c r="K200" i="40"/>
  <c r="L200" i="40"/>
  <c r="M200" i="40"/>
  <c r="N200" i="40"/>
  <c r="O200" i="40"/>
  <c r="P200" i="40"/>
  <c r="Q200" i="40"/>
  <c r="R200" i="40"/>
  <c r="S200" i="40"/>
  <c r="T200" i="40"/>
  <c r="U200" i="40"/>
  <c r="V200" i="40"/>
  <c r="W200" i="40"/>
  <c r="X200" i="40"/>
  <c r="Y200" i="40"/>
  <c r="Z200" i="40"/>
  <c r="F202" i="40"/>
  <c r="G202" i="40"/>
  <c r="H202" i="40"/>
  <c r="I202" i="40"/>
  <c r="J202" i="40"/>
  <c r="K202" i="40"/>
  <c r="L202" i="40"/>
  <c r="M202" i="40"/>
  <c r="N202" i="40"/>
  <c r="O202" i="40"/>
  <c r="P202" i="40"/>
  <c r="Q202" i="40"/>
  <c r="R202" i="40"/>
  <c r="S202" i="40"/>
  <c r="T202" i="40"/>
  <c r="U202" i="40"/>
  <c r="V202" i="40"/>
  <c r="W202" i="40"/>
  <c r="X202" i="40"/>
  <c r="Y202" i="40"/>
  <c r="Z202" i="40"/>
  <c r="F206" i="40"/>
  <c r="G206" i="40"/>
  <c r="H206" i="40"/>
  <c r="I206" i="40"/>
  <c r="J206" i="40"/>
  <c r="K206" i="40"/>
  <c r="L206" i="40"/>
  <c r="M206" i="40"/>
  <c r="N206" i="40"/>
  <c r="O206" i="40"/>
  <c r="P206" i="40"/>
  <c r="Q206" i="40"/>
  <c r="R206" i="40"/>
  <c r="S206" i="40"/>
  <c r="T206" i="40"/>
  <c r="U206" i="40"/>
  <c r="V206" i="40"/>
  <c r="W206" i="40"/>
  <c r="X206" i="40"/>
  <c r="Y206" i="40"/>
  <c r="Z206" i="40"/>
  <c r="F207" i="40"/>
  <c r="G207" i="40"/>
  <c r="H207" i="40"/>
  <c r="I207" i="40"/>
  <c r="J207" i="40"/>
  <c r="K207" i="40"/>
  <c r="L207" i="40"/>
  <c r="M207" i="40"/>
  <c r="N207" i="40"/>
  <c r="O207" i="40"/>
  <c r="P207" i="40"/>
  <c r="Q207" i="40"/>
  <c r="R207" i="40"/>
  <c r="S207" i="40"/>
  <c r="T207" i="40"/>
  <c r="U207" i="40"/>
  <c r="V207" i="40"/>
  <c r="W207" i="40"/>
  <c r="X207" i="40"/>
  <c r="Y207" i="40"/>
  <c r="Z207" i="40"/>
  <c r="F208" i="40"/>
  <c r="G208" i="40"/>
  <c r="H208" i="40"/>
  <c r="I208" i="40"/>
  <c r="J208" i="40"/>
  <c r="K208" i="40"/>
  <c r="L208" i="40"/>
  <c r="M208" i="40"/>
  <c r="N208" i="40"/>
  <c r="O208" i="40"/>
  <c r="P208" i="40"/>
  <c r="Q208" i="40"/>
  <c r="R208" i="40"/>
  <c r="S208" i="40"/>
  <c r="T208" i="40"/>
  <c r="U208" i="40"/>
  <c r="V208" i="40"/>
  <c r="W208" i="40"/>
  <c r="X208" i="40"/>
  <c r="Y208" i="40"/>
  <c r="Z208" i="40"/>
  <c r="J211" i="40"/>
  <c r="K211" i="40"/>
  <c r="L211" i="40"/>
  <c r="M211" i="40"/>
  <c r="N211" i="40"/>
  <c r="O211" i="40"/>
  <c r="P211" i="40"/>
  <c r="Q211" i="40"/>
  <c r="R211" i="40"/>
  <c r="S211" i="40"/>
  <c r="T211" i="40"/>
  <c r="U211" i="40"/>
  <c r="V211" i="40"/>
  <c r="W211" i="40"/>
  <c r="X211" i="40"/>
  <c r="Y211" i="40"/>
  <c r="Z211" i="40"/>
  <c r="I212" i="40"/>
  <c r="I214" i="40"/>
  <c r="J214" i="40"/>
  <c r="K214" i="40"/>
  <c r="L214" i="40"/>
  <c r="M214" i="40"/>
  <c r="N214" i="40"/>
  <c r="O214" i="40"/>
  <c r="P214" i="40"/>
  <c r="Q214" i="40"/>
  <c r="R214" i="40"/>
  <c r="S214" i="40"/>
  <c r="T214" i="40"/>
  <c r="U214" i="40"/>
  <c r="V214" i="40"/>
  <c r="W214" i="40"/>
  <c r="X214" i="40"/>
  <c r="Y214" i="40"/>
  <c r="Z214" i="40"/>
  <c r="I216" i="40"/>
  <c r="J216" i="40"/>
  <c r="K216" i="40"/>
  <c r="L216" i="40"/>
  <c r="M216" i="40"/>
  <c r="N216" i="40"/>
  <c r="O216" i="40"/>
  <c r="P216" i="40"/>
  <c r="Q216" i="40"/>
  <c r="R216" i="40"/>
  <c r="S216" i="40"/>
  <c r="T216" i="40"/>
  <c r="U216" i="40"/>
  <c r="V216" i="40"/>
  <c r="W216" i="40"/>
  <c r="X216" i="40"/>
  <c r="Y216" i="40"/>
  <c r="Z216" i="40"/>
  <c r="I217" i="40"/>
  <c r="J217" i="40"/>
  <c r="K217" i="40"/>
  <c r="L217" i="40"/>
  <c r="M217" i="40"/>
  <c r="N217" i="40"/>
  <c r="O217" i="40"/>
  <c r="P217" i="40"/>
  <c r="Q217" i="40"/>
  <c r="R217" i="40"/>
  <c r="S217" i="40"/>
  <c r="T217" i="40"/>
  <c r="U217" i="40"/>
  <c r="V217" i="40"/>
  <c r="W217" i="40"/>
  <c r="X217" i="40"/>
  <c r="Y217" i="40"/>
  <c r="Z217" i="40"/>
  <c r="F218" i="40"/>
  <c r="G218" i="40"/>
  <c r="H218" i="40"/>
  <c r="I218" i="40"/>
  <c r="J218" i="40"/>
  <c r="K218" i="40"/>
  <c r="L218" i="40"/>
  <c r="M218" i="40"/>
  <c r="N218" i="40"/>
  <c r="O218" i="40"/>
  <c r="P218" i="40"/>
  <c r="Q218" i="40"/>
  <c r="R218" i="40"/>
  <c r="S218" i="40"/>
  <c r="T218" i="40"/>
  <c r="U218" i="40"/>
  <c r="V218" i="40"/>
  <c r="W218" i="40"/>
  <c r="X218" i="40"/>
  <c r="Y218" i="40"/>
  <c r="Z218" i="40"/>
  <c r="I220" i="40"/>
  <c r="F222" i="40"/>
  <c r="G222" i="40"/>
  <c r="H222" i="40"/>
  <c r="I222" i="40"/>
  <c r="J222" i="40"/>
  <c r="K222" i="40"/>
  <c r="L222" i="40"/>
  <c r="M222" i="40"/>
  <c r="N222" i="40"/>
  <c r="O222" i="40"/>
  <c r="P222" i="40"/>
  <c r="Q222" i="40"/>
  <c r="R222" i="40"/>
  <c r="S222" i="40"/>
  <c r="T222" i="40"/>
  <c r="U222" i="40"/>
  <c r="V222" i="40"/>
  <c r="W222" i="40"/>
  <c r="X222" i="40"/>
  <c r="Y222" i="40"/>
  <c r="Z222" i="40"/>
  <c r="N225" i="40"/>
  <c r="N226" i="40"/>
  <c r="N227" i="40"/>
  <c r="N228" i="40"/>
  <c r="F230" i="40"/>
  <c r="G230" i="40"/>
  <c r="H230" i="40"/>
  <c r="I230" i="40"/>
  <c r="J230" i="40"/>
  <c r="K230" i="40"/>
  <c r="L230" i="40"/>
  <c r="M230" i="40"/>
  <c r="N230" i="40"/>
  <c r="F244" i="40"/>
  <c r="G244" i="40"/>
  <c r="H244" i="40"/>
  <c r="I244" i="40"/>
  <c r="J244" i="40"/>
  <c r="K244" i="40"/>
  <c r="L244" i="40"/>
  <c r="M244" i="40"/>
  <c r="N244" i="40"/>
  <c r="O244" i="40"/>
  <c r="P244" i="40"/>
  <c r="Q244" i="40"/>
  <c r="R244" i="40"/>
  <c r="S244" i="40"/>
  <c r="T244" i="40"/>
  <c r="U244" i="40"/>
  <c r="V244" i="40"/>
  <c r="W244" i="40"/>
  <c r="X244" i="40"/>
  <c r="Y244" i="40"/>
  <c r="Z244" i="40"/>
  <c r="F245" i="40"/>
  <c r="G245" i="40"/>
  <c r="H245" i="40"/>
  <c r="I245" i="40"/>
  <c r="J245" i="40"/>
  <c r="K245" i="40"/>
  <c r="L245" i="40"/>
  <c r="M245" i="40"/>
  <c r="N245" i="40"/>
  <c r="O245" i="40"/>
  <c r="P245" i="40"/>
  <c r="Q245" i="40"/>
  <c r="R245" i="40"/>
  <c r="S245" i="40"/>
  <c r="T245" i="40"/>
  <c r="U245" i="40"/>
  <c r="V245" i="40"/>
  <c r="W245" i="40"/>
  <c r="X245" i="40"/>
  <c r="Y245" i="40"/>
  <c r="Z245" i="40"/>
  <c r="F248" i="40"/>
  <c r="G248" i="40"/>
  <c r="H248" i="40"/>
  <c r="I248" i="40"/>
  <c r="J248" i="40"/>
  <c r="K248" i="40"/>
  <c r="L248" i="40"/>
  <c r="M248" i="40"/>
  <c r="N248" i="40"/>
  <c r="O248" i="40"/>
  <c r="P248" i="40"/>
  <c r="Q248" i="40"/>
  <c r="R248" i="40"/>
  <c r="S248" i="40"/>
  <c r="T248" i="40"/>
  <c r="U248" i="40"/>
  <c r="V248" i="40"/>
  <c r="W248" i="40"/>
  <c r="X248" i="40"/>
  <c r="Y248" i="40"/>
  <c r="Z248" i="40"/>
  <c r="F249" i="40"/>
  <c r="G249" i="40"/>
  <c r="H249" i="40"/>
  <c r="I249" i="40"/>
  <c r="J249" i="40"/>
  <c r="K249" i="40"/>
  <c r="L249" i="40"/>
  <c r="M249" i="40"/>
  <c r="N249" i="40"/>
  <c r="O249" i="40"/>
  <c r="P249" i="40"/>
  <c r="Q249" i="40"/>
  <c r="R249" i="40"/>
  <c r="S249" i="40"/>
  <c r="T249" i="40"/>
  <c r="U249" i="40"/>
  <c r="V249" i="40"/>
  <c r="W249" i="40"/>
  <c r="X249" i="40"/>
  <c r="Y249" i="40"/>
  <c r="Z249" i="40"/>
  <c r="F251" i="40"/>
  <c r="G251" i="40"/>
  <c r="H251" i="40"/>
  <c r="I251" i="40"/>
  <c r="J251" i="40"/>
  <c r="K251" i="40"/>
  <c r="L251" i="40"/>
  <c r="M251" i="40"/>
  <c r="N251" i="40"/>
  <c r="O251" i="40"/>
  <c r="P251" i="40"/>
  <c r="Q251" i="40"/>
  <c r="R251" i="40"/>
  <c r="S251" i="40"/>
  <c r="T251" i="40"/>
  <c r="U251" i="40"/>
  <c r="V251" i="40"/>
  <c r="W251" i="40"/>
  <c r="X251" i="40"/>
  <c r="Y251" i="40"/>
  <c r="Z251" i="40"/>
  <c r="F252" i="40"/>
  <c r="G252" i="40"/>
  <c r="H252" i="40"/>
  <c r="I252" i="40"/>
  <c r="J252" i="40"/>
  <c r="K252" i="40"/>
  <c r="L252" i="40"/>
  <c r="M252" i="40"/>
  <c r="N252" i="40"/>
  <c r="O252" i="40"/>
  <c r="P252" i="40"/>
  <c r="Q252" i="40"/>
  <c r="R252" i="40"/>
  <c r="S252" i="40"/>
  <c r="T252" i="40"/>
  <c r="U252" i="40"/>
  <c r="V252" i="40"/>
  <c r="W252" i="40"/>
  <c r="X252" i="40"/>
  <c r="Y252" i="40"/>
  <c r="Z252" i="40"/>
  <c r="F253" i="40"/>
  <c r="G253" i="40"/>
  <c r="H253" i="40"/>
  <c r="I253" i="40"/>
  <c r="J253" i="40"/>
  <c r="K253" i="40"/>
  <c r="L253" i="40"/>
  <c r="M253" i="40"/>
  <c r="N253" i="40"/>
  <c r="O253" i="40"/>
  <c r="P253" i="40"/>
  <c r="Q253" i="40"/>
  <c r="R253" i="40"/>
  <c r="S253" i="40"/>
  <c r="T253" i="40"/>
  <c r="U253" i="40"/>
  <c r="V253" i="40"/>
  <c r="W253" i="40"/>
  <c r="X253" i="40"/>
  <c r="Y253" i="40"/>
  <c r="Z253" i="40"/>
  <c r="J256" i="40"/>
  <c r="K256" i="40"/>
  <c r="L256" i="40"/>
  <c r="M256" i="40"/>
  <c r="N256" i="40"/>
  <c r="O256" i="40"/>
  <c r="P256" i="40"/>
  <c r="Q256" i="40"/>
  <c r="R256" i="40"/>
  <c r="S256" i="40"/>
  <c r="T256" i="40"/>
  <c r="U256" i="40"/>
  <c r="V256" i="40"/>
  <c r="W256" i="40"/>
  <c r="X256" i="40"/>
  <c r="Y256" i="40"/>
  <c r="Z256" i="40"/>
  <c r="I257" i="40"/>
  <c r="I259" i="40"/>
  <c r="J259" i="40"/>
  <c r="K259" i="40"/>
  <c r="L259" i="40"/>
  <c r="M259" i="40"/>
  <c r="N259" i="40"/>
  <c r="O259" i="40"/>
  <c r="P259" i="40"/>
  <c r="Q259" i="40"/>
  <c r="R259" i="40"/>
  <c r="S259" i="40"/>
  <c r="T259" i="40"/>
  <c r="U259" i="40"/>
  <c r="V259" i="40"/>
  <c r="W259" i="40"/>
  <c r="X259" i="40"/>
  <c r="Y259" i="40"/>
  <c r="Z259" i="40"/>
  <c r="I261" i="40"/>
  <c r="J261" i="40"/>
  <c r="K261" i="40"/>
  <c r="L261" i="40"/>
  <c r="M261" i="40"/>
  <c r="N261" i="40"/>
  <c r="O261" i="40"/>
  <c r="P261" i="40"/>
  <c r="Q261" i="40"/>
  <c r="R261" i="40"/>
  <c r="S261" i="40"/>
  <c r="T261" i="40"/>
  <c r="U261" i="40"/>
  <c r="V261" i="40"/>
  <c r="W261" i="40"/>
  <c r="X261" i="40"/>
  <c r="Y261" i="40"/>
  <c r="Z261" i="40"/>
  <c r="I262" i="40"/>
  <c r="J262" i="40"/>
  <c r="K262" i="40"/>
  <c r="L262" i="40"/>
  <c r="M262" i="40"/>
  <c r="N262" i="40"/>
  <c r="O262" i="40"/>
  <c r="P262" i="40"/>
  <c r="Q262" i="40"/>
  <c r="R262" i="40"/>
  <c r="S262" i="40"/>
  <c r="T262" i="40"/>
  <c r="U262" i="40"/>
  <c r="V262" i="40"/>
  <c r="W262" i="40"/>
  <c r="X262" i="40"/>
  <c r="Y262" i="40"/>
  <c r="Z262" i="40"/>
  <c r="F263" i="40"/>
  <c r="G263" i="40"/>
  <c r="H263" i="40"/>
  <c r="I263" i="40"/>
  <c r="J263" i="40"/>
  <c r="K263" i="40"/>
  <c r="L263" i="40"/>
  <c r="M263" i="40"/>
  <c r="N263" i="40"/>
  <c r="O263" i="40"/>
  <c r="P263" i="40"/>
  <c r="Q263" i="40"/>
  <c r="R263" i="40"/>
  <c r="S263" i="40"/>
  <c r="T263" i="40"/>
  <c r="U263" i="40"/>
  <c r="V263" i="40"/>
  <c r="W263" i="40"/>
  <c r="X263" i="40"/>
  <c r="Y263" i="40"/>
  <c r="Z263" i="40"/>
  <c r="I265" i="40"/>
  <c r="F267" i="40"/>
  <c r="G267" i="40"/>
  <c r="H267" i="40"/>
  <c r="I267" i="40"/>
  <c r="J267" i="40"/>
  <c r="K267" i="40"/>
  <c r="L267" i="40"/>
  <c r="M267" i="40"/>
  <c r="N267" i="40"/>
  <c r="O267" i="40"/>
  <c r="P267" i="40"/>
  <c r="Q267" i="40"/>
  <c r="R267" i="40"/>
  <c r="S267" i="40"/>
  <c r="T267" i="40"/>
  <c r="U267" i="40"/>
  <c r="V267" i="40"/>
  <c r="W267" i="40"/>
  <c r="X267" i="40"/>
  <c r="Y267" i="40"/>
  <c r="Z267" i="40"/>
  <c r="N270" i="40"/>
  <c r="N271" i="40"/>
  <c r="N272" i="40"/>
  <c r="N273" i="40"/>
  <c r="F275" i="40"/>
  <c r="G275" i="40"/>
  <c r="H275" i="40"/>
  <c r="I275" i="40"/>
  <c r="J275" i="40"/>
  <c r="K275" i="40"/>
  <c r="L275" i="40"/>
  <c r="M275" i="40"/>
  <c r="N275" i="40"/>
  <c r="F277" i="40"/>
  <c r="G277" i="40"/>
  <c r="H277" i="40"/>
  <c r="I277" i="40"/>
  <c r="J277" i="40"/>
  <c r="K277" i="40"/>
  <c r="L277" i="40"/>
  <c r="M277" i="40"/>
  <c r="N277" i="40"/>
  <c r="F279" i="40"/>
  <c r="G279" i="40"/>
  <c r="H279" i="40"/>
  <c r="I279" i="40"/>
  <c r="J279" i="40"/>
  <c r="K279" i="40"/>
  <c r="L279" i="40"/>
  <c r="M279" i="40"/>
  <c r="N279" i="40"/>
  <c r="O279" i="40"/>
  <c r="P279" i="40"/>
  <c r="Q279" i="40"/>
  <c r="R279" i="40"/>
  <c r="S279" i="40"/>
  <c r="T279" i="40"/>
  <c r="U279" i="40"/>
  <c r="V279" i="40"/>
  <c r="W279" i="40"/>
  <c r="X279" i="40"/>
  <c r="Y279" i="40"/>
  <c r="Z279" i="40"/>
  <c r="F280" i="40"/>
  <c r="G280" i="40"/>
  <c r="H280" i="40"/>
  <c r="I280" i="40"/>
  <c r="J280" i="40"/>
  <c r="K280" i="40"/>
  <c r="L280" i="40"/>
  <c r="M280" i="40"/>
  <c r="N280" i="40"/>
  <c r="O280" i="40"/>
  <c r="P280" i="40"/>
  <c r="Q280" i="40"/>
  <c r="R280" i="40"/>
  <c r="S280" i="40"/>
  <c r="T280" i="40"/>
  <c r="U280" i="40"/>
  <c r="V280" i="40"/>
  <c r="W280" i="40"/>
  <c r="X280" i="40"/>
  <c r="Y280" i="40"/>
  <c r="Z280" i="40"/>
  <c r="D288" i="40"/>
  <c r="F288" i="40"/>
  <c r="G288" i="40"/>
  <c r="H288" i="40"/>
  <c r="D289" i="40"/>
  <c r="G289" i="40"/>
  <c r="H289" i="40"/>
  <c r="D291" i="40"/>
  <c r="F291" i="40"/>
  <c r="G291" i="40"/>
  <c r="H291" i="40"/>
  <c r="I291" i="40"/>
  <c r="J291" i="40"/>
  <c r="D292" i="40"/>
  <c r="F292" i="40"/>
  <c r="G292" i="40"/>
  <c r="H292" i="40"/>
  <c r="I292" i="40"/>
  <c r="J292" i="40"/>
  <c r="D295" i="40"/>
  <c r="F295" i="40"/>
  <c r="G295" i="40"/>
  <c r="H295" i="40"/>
  <c r="I295" i="40"/>
  <c r="J295" i="40"/>
  <c r="K295" i="40"/>
  <c r="L295" i="40"/>
  <c r="M295" i="40"/>
  <c r="N295" i="40"/>
  <c r="O295" i="40"/>
  <c r="P295" i="40"/>
  <c r="Q295" i="40"/>
  <c r="R295" i="40"/>
  <c r="S295" i="40"/>
  <c r="T295" i="40"/>
  <c r="U295" i="40"/>
  <c r="V295" i="40"/>
  <c r="W295" i="40"/>
  <c r="X295" i="40"/>
  <c r="Y295" i="40"/>
  <c r="Z295" i="40"/>
  <c r="D296" i="40"/>
  <c r="F296" i="40"/>
  <c r="G296" i="40"/>
  <c r="H296" i="40"/>
  <c r="I296" i="40"/>
  <c r="J296" i="40"/>
  <c r="K296" i="40"/>
  <c r="L296" i="40"/>
  <c r="M296" i="40"/>
  <c r="N296" i="40"/>
  <c r="O296" i="40"/>
  <c r="P296" i="40"/>
  <c r="Q296" i="40"/>
  <c r="R296" i="40"/>
  <c r="S296" i="40"/>
  <c r="T296" i="40"/>
  <c r="U296" i="40"/>
  <c r="V296" i="40"/>
  <c r="W296" i="40"/>
  <c r="X296" i="40"/>
  <c r="Y296" i="40"/>
  <c r="Z296" i="40"/>
  <c r="D297" i="40"/>
  <c r="F297" i="40"/>
  <c r="G297" i="40"/>
  <c r="H297" i="40"/>
  <c r="I297" i="40"/>
  <c r="J297" i="40"/>
  <c r="K297" i="40"/>
  <c r="L297" i="40"/>
  <c r="M297" i="40"/>
  <c r="N297" i="40"/>
  <c r="O297" i="40"/>
  <c r="P297" i="40"/>
  <c r="Q297" i="40"/>
  <c r="R297" i="40"/>
  <c r="S297" i="40"/>
  <c r="T297" i="40"/>
  <c r="U297" i="40"/>
  <c r="V297" i="40"/>
  <c r="W297" i="40"/>
  <c r="X297" i="40"/>
  <c r="Y297" i="40"/>
  <c r="Z297" i="40"/>
  <c r="D298" i="40"/>
  <c r="F298" i="40"/>
  <c r="G298" i="40"/>
  <c r="H298" i="40"/>
  <c r="I298" i="40"/>
  <c r="J298" i="40"/>
  <c r="K298" i="40"/>
  <c r="L298" i="40"/>
  <c r="M298" i="40"/>
  <c r="N298" i="40"/>
  <c r="O298" i="40"/>
  <c r="P298" i="40"/>
  <c r="Q298" i="40"/>
  <c r="R298" i="40"/>
  <c r="S298" i="40"/>
  <c r="T298" i="40"/>
  <c r="U298" i="40"/>
  <c r="V298" i="40"/>
  <c r="W298" i="40"/>
  <c r="X298" i="40"/>
  <c r="Y298" i="40"/>
  <c r="Z298" i="40"/>
  <c r="D299" i="40"/>
  <c r="F299" i="40"/>
  <c r="G299" i="40"/>
  <c r="H299" i="40"/>
  <c r="I299" i="40"/>
  <c r="J299" i="40"/>
  <c r="K299" i="40"/>
  <c r="L299" i="40"/>
  <c r="M299" i="40"/>
  <c r="N299" i="40"/>
  <c r="O299" i="40"/>
  <c r="P299" i="40"/>
  <c r="Q299" i="40"/>
  <c r="R299" i="40"/>
  <c r="S299" i="40"/>
  <c r="T299" i="40"/>
  <c r="U299" i="40"/>
  <c r="V299" i="40"/>
  <c r="W299" i="40"/>
  <c r="X299" i="40"/>
  <c r="Y299" i="40"/>
  <c r="Z299" i="40"/>
  <c r="D300" i="40"/>
  <c r="F300" i="40"/>
  <c r="G300" i="40"/>
  <c r="H300" i="40"/>
  <c r="I300" i="40"/>
  <c r="J300" i="40"/>
  <c r="K300" i="40"/>
  <c r="L300" i="40"/>
  <c r="M300" i="40"/>
  <c r="N300" i="40"/>
  <c r="O300" i="40"/>
  <c r="P300" i="40"/>
  <c r="Q300" i="40"/>
  <c r="R300" i="40"/>
  <c r="S300" i="40"/>
  <c r="T300" i="40"/>
  <c r="U300" i="40"/>
  <c r="V300" i="40"/>
  <c r="W300" i="40"/>
  <c r="X300" i="40"/>
  <c r="Y300" i="40"/>
  <c r="Z300" i="40"/>
  <c r="D301" i="40"/>
  <c r="F301" i="40"/>
  <c r="G301" i="40"/>
  <c r="H301" i="40"/>
  <c r="I301" i="40"/>
  <c r="J301" i="40"/>
  <c r="K301" i="40"/>
  <c r="L301" i="40"/>
  <c r="M301" i="40"/>
  <c r="N301" i="40"/>
  <c r="O301" i="40"/>
  <c r="P301" i="40"/>
  <c r="Q301" i="40"/>
  <c r="R301" i="40"/>
  <c r="S301" i="40"/>
  <c r="T301" i="40"/>
  <c r="U301" i="40"/>
  <c r="V301" i="40"/>
  <c r="W301" i="40"/>
  <c r="X301" i="40"/>
  <c r="Y301" i="40"/>
  <c r="Z301" i="40"/>
  <c r="D302" i="40"/>
  <c r="F302" i="40"/>
  <c r="G302" i="40"/>
  <c r="H302" i="40"/>
  <c r="I302" i="40"/>
  <c r="J302" i="40"/>
  <c r="K302" i="40"/>
  <c r="L302" i="40"/>
  <c r="M302" i="40"/>
  <c r="N302" i="40"/>
  <c r="O302" i="40"/>
  <c r="P302" i="40"/>
  <c r="Q302" i="40"/>
  <c r="R302" i="40"/>
  <c r="S302" i="40"/>
  <c r="T302" i="40"/>
  <c r="U302" i="40"/>
  <c r="V302" i="40"/>
  <c r="W302" i="40"/>
  <c r="X302" i="40"/>
  <c r="Y302" i="40"/>
  <c r="Z302" i="40"/>
  <c r="D304" i="40"/>
  <c r="F304" i="40"/>
  <c r="G304" i="40"/>
  <c r="H304" i="40"/>
  <c r="I304" i="40"/>
  <c r="J304" i="40"/>
  <c r="K304" i="40"/>
  <c r="L304" i="40"/>
  <c r="M304" i="40"/>
  <c r="N304" i="40"/>
  <c r="O304" i="40"/>
  <c r="P304" i="40"/>
  <c r="Q304" i="40"/>
  <c r="R304" i="40"/>
  <c r="S304" i="40"/>
  <c r="T304" i="40"/>
  <c r="U304" i="40"/>
  <c r="V304" i="40"/>
  <c r="W304" i="40"/>
  <c r="X304" i="40"/>
  <c r="Y304" i="40"/>
  <c r="Z304" i="40"/>
  <c r="D307" i="40"/>
  <c r="F307" i="40"/>
  <c r="G307" i="40"/>
  <c r="H307" i="40"/>
  <c r="I307" i="40"/>
  <c r="J307" i="40"/>
  <c r="K307" i="40"/>
  <c r="L307" i="40"/>
  <c r="M307" i="40"/>
  <c r="N307" i="40"/>
  <c r="O307" i="40"/>
  <c r="P307" i="40"/>
  <c r="Q307" i="40"/>
  <c r="R307" i="40"/>
  <c r="S307" i="40"/>
  <c r="T307" i="40"/>
  <c r="U307" i="40"/>
  <c r="V307" i="40"/>
  <c r="W307" i="40"/>
  <c r="X307" i="40"/>
  <c r="Y307" i="40"/>
  <c r="Z307" i="40"/>
  <c r="D308" i="40"/>
  <c r="F308" i="40"/>
  <c r="G308" i="40"/>
  <c r="H308" i="40"/>
  <c r="I308" i="40"/>
  <c r="J308" i="40"/>
  <c r="K308" i="40"/>
  <c r="L308" i="40"/>
  <c r="M308" i="40"/>
  <c r="N308" i="40"/>
  <c r="D309" i="40"/>
  <c r="F309" i="40"/>
  <c r="G309" i="40"/>
  <c r="H309" i="40"/>
  <c r="I309" i="40"/>
  <c r="J309" i="40"/>
  <c r="K309" i="40"/>
  <c r="L309" i="40"/>
  <c r="M309" i="40"/>
  <c r="N309" i="40"/>
  <c r="O309" i="40"/>
  <c r="P309" i="40"/>
  <c r="Q309" i="40"/>
  <c r="R309" i="40"/>
  <c r="S309" i="40"/>
  <c r="T309" i="40"/>
  <c r="U309" i="40"/>
  <c r="V309" i="40"/>
  <c r="W309" i="40"/>
  <c r="X309" i="40"/>
  <c r="Y309" i="40"/>
  <c r="Z309" i="40"/>
  <c r="D311" i="40"/>
  <c r="D312" i="40"/>
  <c r="D313" i="40"/>
  <c r="F318" i="40"/>
  <c r="G318" i="40"/>
  <c r="H318" i="40"/>
  <c r="I318" i="40"/>
  <c r="J318" i="40"/>
  <c r="K318" i="40"/>
  <c r="L318" i="40"/>
  <c r="M318" i="40"/>
  <c r="N318" i="40"/>
  <c r="O318" i="40"/>
  <c r="P318" i="40"/>
  <c r="Q318" i="40"/>
  <c r="R318" i="40"/>
  <c r="S318" i="40"/>
  <c r="T318" i="40"/>
  <c r="U318" i="40"/>
  <c r="V318" i="40"/>
  <c r="W318" i="40"/>
  <c r="X318" i="40"/>
  <c r="Y318" i="40"/>
  <c r="Z318" i="40"/>
  <c r="F319" i="40"/>
  <c r="G319" i="40"/>
  <c r="H319" i="40"/>
  <c r="I319" i="40"/>
  <c r="J319" i="40"/>
  <c r="K319" i="40"/>
  <c r="L319" i="40"/>
  <c r="M319" i="40"/>
  <c r="N319" i="40"/>
  <c r="O319" i="40"/>
  <c r="P319" i="40"/>
  <c r="Q319" i="40"/>
  <c r="R319" i="40"/>
  <c r="S319" i="40"/>
  <c r="T319" i="40"/>
  <c r="U319" i="40"/>
  <c r="V319" i="40"/>
  <c r="W319" i="40"/>
  <c r="X319" i="40"/>
  <c r="Y319" i="40"/>
  <c r="Z319" i="40"/>
  <c r="F320" i="40"/>
  <c r="G320" i="40"/>
  <c r="H320" i="40"/>
  <c r="I320" i="40"/>
  <c r="J320" i="40"/>
  <c r="K320" i="40"/>
  <c r="L320" i="40"/>
  <c r="M320" i="40"/>
  <c r="N320" i="40"/>
  <c r="O320" i="40"/>
  <c r="P320" i="40"/>
  <c r="Q320" i="40"/>
  <c r="R320" i="40"/>
  <c r="S320" i="40"/>
  <c r="T320" i="40"/>
  <c r="U320" i="40"/>
  <c r="V320" i="40"/>
  <c r="W320" i="40"/>
  <c r="X320" i="40"/>
  <c r="Y320" i="40"/>
  <c r="Z320" i="40"/>
  <c r="F321" i="40"/>
  <c r="G321" i="40"/>
  <c r="H321" i="40"/>
  <c r="I321" i="40"/>
  <c r="J321" i="40"/>
  <c r="K321" i="40"/>
  <c r="L321" i="40"/>
  <c r="M321" i="40"/>
  <c r="N321" i="40"/>
  <c r="O321" i="40"/>
  <c r="P321" i="40"/>
  <c r="Q321" i="40"/>
  <c r="R321" i="40"/>
  <c r="S321" i="40"/>
  <c r="T321" i="40"/>
  <c r="U321" i="40"/>
  <c r="V321" i="40"/>
  <c r="W321" i="40"/>
  <c r="X321" i="40"/>
  <c r="Y321" i="40"/>
  <c r="Z321" i="40"/>
  <c r="N324" i="40"/>
  <c r="N325" i="40"/>
  <c r="N326" i="40"/>
  <c r="D332" i="40"/>
  <c r="F332" i="40"/>
  <c r="G332" i="40"/>
  <c r="H332" i="40"/>
  <c r="D335" i="40"/>
  <c r="F335" i="40"/>
  <c r="G335" i="40"/>
  <c r="H335" i="40"/>
  <c r="I335" i="40"/>
  <c r="J335" i="40"/>
  <c r="D336" i="40"/>
  <c r="F336" i="40"/>
  <c r="G336" i="40"/>
  <c r="H336" i="40"/>
  <c r="I336" i="40"/>
  <c r="J336" i="40"/>
  <c r="D339" i="40"/>
  <c r="F339" i="40"/>
  <c r="G339" i="40"/>
  <c r="H339" i="40"/>
  <c r="I339" i="40"/>
  <c r="J339" i="40"/>
  <c r="K339" i="40"/>
  <c r="L339" i="40"/>
  <c r="M339" i="40"/>
  <c r="N339" i="40"/>
  <c r="O339" i="40"/>
  <c r="P339" i="40"/>
  <c r="Q339" i="40"/>
  <c r="R339" i="40"/>
  <c r="S339" i="40"/>
  <c r="T339" i="40"/>
  <c r="U339" i="40"/>
  <c r="V339" i="40"/>
  <c r="W339" i="40"/>
  <c r="X339" i="40"/>
  <c r="Y339" i="40"/>
  <c r="Z339" i="40"/>
  <c r="D340" i="40"/>
  <c r="F340" i="40"/>
  <c r="G340" i="40"/>
  <c r="H340" i="40"/>
  <c r="I340" i="40"/>
  <c r="J340" i="40"/>
  <c r="K340" i="40"/>
  <c r="L340" i="40"/>
  <c r="M340" i="40"/>
  <c r="N340" i="40"/>
  <c r="O340" i="40"/>
  <c r="P340" i="40"/>
  <c r="Q340" i="40"/>
  <c r="R340" i="40"/>
  <c r="S340" i="40"/>
  <c r="T340" i="40"/>
  <c r="U340" i="40"/>
  <c r="V340" i="40"/>
  <c r="W340" i="40"/>
  <c r="X340" i="40"/>
  <c r="Y340" i="40"/>
  <c r="Z340" i="40"/>
  <c r="D341" i="40"/>
  <c r="F341" i="40"/>
  <c r="G341" i="40"/>
  <c r="H341" i="40"/>
  <c r="I341" i="40"/>
  <c r="J341" i="40"/>
  <c r="K341" i="40"/>
  <c r="L341" i="40"/>
  <c r="M341" i="40"/>
  <c r="N341" i="40"/>
  <c r="O341" i="40"/>
  <c r="P341" i="40"/>
  <c r="Q341" i="40"/>
  <c r="R341" i="40"/>
  <c r="S341" i="40"/>
  <c r="T341" i="40"/>
  <c r="U341" i="40"/>
  <c r="V341" i="40"/>
  <c r="W341" i="40"/>
  <c r="X341" i="40"/>
  <c r="Y341" i="40"/>
  <c r="Z341" i="40"/>
  <c r="D342" i="40"/>
  <c r="F342" i="40"/>
  <c r="G342" i="40"/>
  <c r="H342" i="40"/>
  <c r="I342" i="40"/>
  <c r="J342" i="40"/>
  <c r="K342" i="40"/>
  <c r="L342" i="40"/>
  <c r="M342" i="40"/>
  <c r="N342" i="40"/>
  <c r="O342" i="40"/>
  <c r="P342" i="40"/>
  <c r="Q342" i="40"/>
  <c r="R342" i="40"/>
  <c r="S342" i="40"/>
  <c r="T342" i="40"/>
  <c r="U342" i="40"/>
  <c r="V342" i="40"/>
  <c r="W342" i="40"/>
  <c r="X342" i="40"/>
  <c r="Y342" i="40"/>
  <c r="Z342" i="40"/>
  <c r="D343" i="40"/>
  <c r="F343" i="40"/>
  <c r="G343" i="40"/>
  <c r="H343" i="40"/>
  <c r="I343" i="40"/>
  <c r="J343" i="40"/>
  <c r="K343" i="40"/>
  <c r="L343" i="40"/>
  <c r="M343" i="40"/>
  <c r="N343" i="40"/>
  <c r="O343" i="40"/>
  <c r="P343" i="40"/>
  <c r="Q343" i="40"/>
  <c r="R343" i="40"/>
  <c r="S343" i="40"/>
  <c r="T343" i="40"/>
  <c r="U343" i="40"/>
  <c r="V343" i="40"/>
  <c r="W343" i="40"/>
  <c r="X343" i="40"/>
  <c r="Y343" i="40"/>
  <c r="Z343" i="40"/>
  <c r="D345" i="40"/>
  <c r="F345" i="40"/>
  <c r="G345" i="40"/>
  <c r="H345" i="40"/>
  <c r="I345" i="40"/>
  <c r="J345" i="40"/>
  <c r="K345" i="40"/>
  <c r="L345" i="40"/>
  <c r="M345" i="40"/>
  <c r="N345" i="40"/>
  <c r="O345" i="40"/>
  <c r="P345" i="40"/>
  <c r="Q345" i="40"/>
  <c r="R345" i="40"/>
  <c r="S345" i="40"/>
  <c r="T345" i="40"/>
  <c r="U345" i="40"/>
  <c r="V345" i="40"/>
  <c r="W345" i="40"/>
  <c r="X345" i="40"/>
  <c r="Y345" i="40"/>
  <c r="Z345" i="40"/>
  <c r="D346" i="40"/>
  <c r="F346" i="40"/>
  <c r="G346" i="40"/>
  <c r="H346" i="40"/>
  <c r="I346" i="40"/>
  <c r="J346" i="40"/>
  <c r="K346" i="40"/>
  <c r="L346" i="40"/>
  <c r="M346" i="40"/>
  <c r="N346" i="40"/>
  <c r="O346" i="40"/>
  <c r="P346" i="40"/>
  <c r="Q346" i="40"/>
  <c r="R346" i="40"/>
  <c r="S346" i="40"/>
  <c r="T346" i="40"/>
  <c r="U346" i="40"/>
  <c r="V346" i="40"/>
  <c r="W346" i="40"/>
  <c r="X346" i="40"/>
  <c r="Y346" i="40"/>
  <c r="Z346" i="40"/>
  <c r="D349" i="40"/>
  <c r="F349" i="40"/>
  <c r="G349" i="40"/>
  <c r="H349" i="40"/>
  <c r="I349" i="40"/>
  <c r="J349" i="40"/>
  <c r="K349" i="40"/>
  <c r="L349" i="40"/>
  <c r="M349" i="40"/>
  <c r="N349" i="40"/>
  <c r="O349" i="40"/>
  <c r="P349" i="40"/>
  <c r="Q349" i="40"/>
  <c r="R349" i="40"/>
  <c r="S349" i="40"/>
  <c r="T349" i="40"/>
  <c r="U349" i="40"/>
  <c r="V349" i="40"/>
  <c r="W349" i="40"/>
  <c r="X349" i="40"/>
  <c r="Y349" i="40"/>
  <c r="Z349" i="40"/>
  <c r="D350" i="40"/>
  <c r="F350" i="40"/>
  <c r="G350" i="40"/>
  <c r="H350" i="40"/>
  <c r="I350" i="40"/>
  <c r="J350" i="40"/>
  <c r="K350" i="40"/>
  <c r="L350" i="40"/>
  <c r="M350" i="40"/>
  <c r="N350" i="40"/>
  <c r="D351" i="40"/>
  <c r="F351" i="40"/>
  <c r="G351" i="40"/>
  <c r="H351" i="40"/>
  <c r="I351" i="40"/>
  <c r="J351" i="40"/>
  <c r="K351" i="40"/>
  <c r="L351" i="40"/>
  <c r="M351" i="40"/>
  <c r="N351" i="40"/>
  <c r="O351" i="40"/>
  <c r="P351" i="40"/>
  <c r="Q351" i="40"/>
  <c r="R351" i="40"/>
  <c r="S351" i="40"/>
  <c r="T351" i="40"/>
  <c r="U351" i="40"/>
  <c r="V351" i="40"/>
  <c r="W351" i="40"/>
  <c r="X351" i="40"/>
  <c r="Y351" i="40"/>
  <c r="Z351" i="40"/>
  <c r="D353" i="40"/>
  <c r="D354" i="40"/>
  <c r="D355" i="40"/>
  <c r="F360" i="40"/>
  <c r="G360" i="40"/>
  <c r="H360" i="40"/>
  <c r="I360" i="40"/>
  <c r="J360" i="40"/>
  <c r="K360" i="40"/>
  <c r="L360" i="40"/>
  <c r="M360" i="40"/>
  <c r="N360" i="40"/>
  <c r="O360" i="40"/>
  <c r="P360" i="40"/>
  <c r="Q360" i="40"/>
  <c r="R360" i="40"/>
  <c r="S360" i="40"/>
  <c r="T360" i="40"/>
  <c r="U360" i="40"/>
  <c r="V360" i="40"/>
  <c r="W360" i="40"/>
  <c r="X360" i="40"/>
  <c r="Y360" i="40"/>
  <c r="Z360" i="40"/>
  <c r="F363" i="40"/>
  <c r="G363" i="40"/>
  <c r="H363" i="40"/>
  <c r="I363" i="40"/>
  <c r="J363" i="40"/>
  <c r="K363" i="40"/>
  <c r="L363" i="40"/>
  <c r="M363" i="40"/>
  <c r="N363" i="40"/>
  <c r="F364" i="40"/>
  <c r="G364" i="40"/>
  <c r="H364" i="40"/>
  <c r="I364" i="40"/>
  <c r="J364" i="40"/>
  <c r="K364" i="40"/>
  <c r="L364" i="40"/>
  <c r="M364" i="40"/>
  <c r="N364" i="40"/>
  <c r="N365" i="40"/>
  <c r="N366" i="40"/>
  <c r="D367" i="40"/>
  <c r="F367" i="40"/>
  <c r="G367" i="40"/>
  <c r="H367" i="40"/>
  <c r="I367" i="40"/>
  <c r="J367" i="40"/>
  <c r="K367" i="40"/>
  <c r="L367" i="40"/>
  <c r="M367" i="40"/>
  <c r="N367" i="40"/>
  <c r="O367" i="40"/>
  <c r="P367" i="40"/>
  <c r="Q367" i="40"/>
  <c r="R367" i="40"/>
  <c r="S367" i="40"/>
  <c r="T367" i="40"/>
  <c r="U367" i="40"/>
  <c r="V367" i="40"/>
  <c r="W367" i="40"/>
  <c r="X367" i="40"/>
  <c r="Y367" i="40"/>
  <c r="Z367" i="40"/>
  <c r="D369" i="40"/>
  <c r="F372" i="40"/>
  <c r="G372" i="40"/>
  <c r="H372" i="40"/>
  <c r="I372" i="40"/>
  <c r="J372" i="40"/>
  <c r="K372" i="40"/>
  <c r="L372" i="40"/>
  <c r="M372" i="40"/>
  <c r="N372" i="40"/>
  <c r="O372" i="40"/>
  <c r="P372" i="40"/>
  <c r="Q372" i="40"/>
  <c r="R372" i="40"/>
  <c r="S372" i="40"/>
  <c r="T372" i="40"/>
  <c r="U372" i="40"/>
  <c r="V372" i="40"/>
  <c r="W372" i="40"/>
  <c r="X372" i="40"/>
  <c r="Y372" i="40"/>
  <c r="Z372" i="40"/>
  <c r="F373" i="40"/>
  <c r="G373" i="40"/>
  <c r="H373" i="40"/>
  <c r="I373" i="40"/>
  <c r="J373" i="40"/>
  <c r="K373" i="40"/>
  <c r="L373" i="40"/>
  <c r="M373" i="40"/>
  <c r="N373" i="40"/>
  <c r="O373" i="40"/>
  <c r="P373" i="40"/>
  <c r="Q373" i="40"/>
  <c r="R373" i="40"/>
  <c r="S373" i="40"/>
  <c r="T373" i="40"/>
  <c r="U373" i="40"/>
  <c r="V373" i="40"/>
  <c r="W373" i="40"/>
  <c r="X373" i="40"/>
  <c r="Y373" i="40"/>
  <c r="Z373" i="40"/>
  <c r="J374" i="40"/>
  <c r="J375" i="40"/>
  <c r="F376" i="40"/>
  <c r="G376" i="40"/>
  <c r="H376" i="40"/>
  <c r="I376" i="40"/>
  <c r="J376" i="40"/>
  <c r="K376" i="40"/>
  <c r="L376" i="40"/>
  <c r="M376" i="40"/>
  <c r="N376" i="40"/>
  <c r="F377" i="40"/>
  <c r="G377" i="40"/>
  <c r="H377" i="40"/>
  <c r="I377" i="40"/>
  <c r="J377" i="40"/>
  <c r="K377" i="40"/>
  <c r="L377" i="40"/>
  <c r="M377" i="40"/>
  <c r="N377" i="40"/>
  <c r="N378" i="40"/>
  <c r="N379" i="40"/>
  <c r="D380" i="40"/>
  <c r="F380" i="40"/>
  <c r="G380" i="40"/>
  <c r="H380" i="40"/>
  <c r="I380" i="40"/>
  <c r="J380" i="40"/>
  <c r="K380" i="40"/>
  <c r="L380" i="40"/>
  <c r="M380" i="40"/>
  <c r="N380" i="40"/>
  <c r="O380" i="40"/>
  <c r="P380" i="40"/>
  <c r="Q380" i="40"/>
  <c r="R380" i="40"/>
  <c r="S380" i="40"/>
  <c r="T380" i="40"/>
  <c r="U380" i="40"/>
  <c r="V380" i="40"/>
  <c r="W380" i="40"/>
  <c r="X380" i="40"/>
  <c r="Y380" i="40"/>
  <c r="Z380" i="40"/>
  <c r="D382" i="40"/>
  <c r="D383" i="40"/>
  <c r="K385" i="40"/>
  <c r="L385" i="40"/>
  <c r="M385" i="40"/>
  <c r="N385" i="40"/>
  <c r="D388" i="40"/>
  <c r="G388" i="40"/>
  <c r="H388" i="40"/>
  <c r="I388" i="40"/>
  <c r="J388" i="40"/>
  <c r="K388" i="40"/>
  <c r="L388" i="40"/>
  <c r="M388" i="40"/>
  <c r="N388" i="40"/>
  <c r="O388" i="40"/>
  <c r="P388" i="40"/>
  <c r="Q388" i="40"/>
  <c r="R388" i="40"/>
  <c r="S388" i="40"/>
  <c r="T388" i="40"/>
  <c r="U388" i="40"/>
  <c r="V388" i="40"/>
  <c r="W388" i="40"/>
  <c r="X388" i="40"/>
  <c r="Y388" i="40"/>
  <c r="Z388" i="40"/>
  <c r="D389" i="40"/>
  <c r="F389" i="40"/>
  <c r="G389" i="40"/>
  <c r="H389" i="40"/>
  <c r="I389" i="40"/>
  <c r="J389" i="40"/>
  <c r="K389" i="40"/>
  <c r="L389" i="40"/>
  <c r="M389" i="40"/>
  <c r="N389" i="40"/>
  <c r="O389" i="40"/>
  <c r="P389" i="40"/>
  <c r="Q389" i="40"/>
  <c r="R389" i="40"/>
  <c r="S389" i="40"/>
  <c r="T389" i="40"/>
  <c r="U389" i="40"/>
  <c r="V389" i="40"/>
  <c r="W389" i="40"/>
  <c r="X389" i="40"/>
  <c r="Y389" i="40"/>
  <c r="Z389" i="40"/>
  <c r="D390" i="40"/>
  <c r="F390" i="40"/>
  <c r="G390" i="40"/>
  <c r="H390" i="40"/>
  <c r="I390" i="40"/>
  <c r="J390" i="40"/>
  <c r="K390" i="40"/>
  <c r="L390" i="40"/>
  <c r="M390" i="40"/>
  <c r="N390" i="40"/>
  <c r="D391" i="40"/>
  <c r="J391" i="40"/>
  <c r="K391" i="40"/>
  <c r="L391" i="40"/>
  <c r="M391" i="40"/>
  <c r="N391" i="40"/>
  <c r="D392" i="40"/>
  <c r="F392" i="40"/>
  <c r="G392" i="40"/>
  <c r="H392" i="40"/>
  <c r="I392" i="40"/>
  <c r="J392" i="40"/>
  <c r="K392" i="40"/>
  <c r="L392" i="40"/>
  <c r="M392" i="40"/>
  <c r="N392" i="40"/>
  <c r="D393" i="40"/>
  <c r="N393" i="40"/>
  <c r="D394" i="40"/>
  <c r="N394" i="40"/>
  <c r="D395" i="40"/>
  <c r="F395" i="40"/>
  <c r="G395" i="40"/>
  <c r="H395" i="40"/>
  <c r="I395" i="40"/>
  <c r="J395" i="40"/>
  <c r="K395" i="40"/>
  <c r="L395" i="40"/>
  <c r="M395" i="40"/>
  <c r="N395" i="40"/>
  <c r="O395" i="40"/>
  <c r="P395" i="40"/>
  <c r="Q395" i="40"/>
  <c r="R395" i="40"/>
  <c r="S395" i="40"/>
  <c r="T395" i="40"/>
  <c r="U395" i="40"/>
  <c r="V395" i="40"/>
  <c r="W395" i="40"/>
  <c r="X395" i="40"/>
  <c r="Y395" i="40"/>
  <c r="Z395" i="40"/>
  <c r="F400" i="40"/>
  <c r="G400" i="40"/>
  <c r="H400" i="40"/>
  <c r="I400" i="40"/>
  <c r="J400" i="40"/>
  <c r="K400" i="40"/>
  <c r="L400" i="40"/>
  <c r="M400" i="40"/>
  <c r="N400" i="40"/>
  <c r="O400" i="40"/>
  <c r="P400" i="40"/>
  <c r="Q400" i="40"/>
  <c r="R400" i="40"/>
  <c r="S400" i="40"/>
  <c r="T400" i="40"/>
  <c r="U400" i="40"/>
  <c r="V400" i="40"/>
  <c r="W400" i="40"/>
  <c r="X400" i="40"/>
  <c r="Y400" i="40"/>
  <c r="Z400" i="40"/>
  <c r="F403" i="40"/>
  <c r="G403" i="40"/>
  <c r="H403" i="40"/>
  <c r="I403" i="40"/>
  <c r="J403" i="40"/>
  <c r="K403" i="40"/>
  <c r="L403" i="40"/>
  <c r="M403" i="40"/>
  <c r="N403" i="40"/>
  <c r="F404" i="40"/>
  <c r="G404" i="40"/>
  <c r="H404" i="40"/>
  <c r="I404" i="40"/>
  <c r="J404" i="40"/>
  <c r="K404" i="40"/>
  <c r="L404" i="40"/>
  <c r="M404" i="40"/>
  <c r="N404" i="40"/>
  <c r="I405" i="40"/>
  <c r="N405" i="40"/>
  <c r="N406" i="40"/>
  <c r="D407" i="40"/>
  <c r="F407" i="40"/>
  <c r="G407" i="40"/>
  <c r="H407" i="40"/>
  <c r="I407" i="40"/>
  <c r="J407" i="40"/>
  <c r="K407" i="40"/>
  <c r="L407" i="40"/>
  <c r="M407" i="40"/>
  <c r="N407" i="40"/>
  <c r="O407" i="40"/>
  <c r="P407" i="40"/>
  <c r="Q407" i="40"/>
  <c r="R407" i="40"/>
  <c r="S407" i="40"/>
  <c r="T407" i="40"/>
  <c r="U407" i="40"/>
  <c r="V407" i="40"/>
  <c r="W407" i="40"/>
  <c r="X407" i="40"/>
  <c r="Y407" i="40"/>
  <c r="Z407" i="40"/>
  <c r="D409" i="40"/>
  <c r="F412" i="40"/>
  <c r="G412" i="40"/>
  <c r="H412" i="40"/>
  <c r="I412" i="40"/>
  <c r="J412" i="40"/>
  <c r="K412" i="40"/>
  <c r="L412" i="40"/>
  <c r="M412" i="40"/>
  <c r="N412" i="40"/>
  <c r="O412" i="40"/>
  <c r="P412" i="40"/>
  <c r="Q412" i="40"/>
  <c r="R412" i="40"/>
  <c r="S412" i="40"/>
  <c r="T412" i="40"/>
  <c r="U412" i="40"/>
  <c r="V412" i="40"/>
  <c r="W412" i="40"/>
  <c r="X412" i="40"/>
  <c r="Y412" i="40"/>
  <c r="Z412" i="40"/>
  <c r="F413" i="40"/>
  <c r="G413" i="40"/>
  <c r="H413" i="40"/>
  <c r="I413" i="40"/>
  <c r="J413" i="40"/>
  <c r="K413" i="40"/>
  <c r="L413" i="40"/>
  <c r="M413" i="40"/>
  <c r="N413" i="40"/>
  <c r="O413" i="40"/>
  <c r="P413" i="40"/>
  <c r="Q413" i="40"/>
  <c r="R413" i="40"/>
  <c r="S413" i="40"/>
  <c r="T413" i="40"/>
  <c r="U413" i="40"/>
  <c r="V413" i="40"/>
  <c r="W413" i="40"/>
  <c r="X413" i="40"/>
  <c r="Y413" i="40"/>
  <c r="Z413" i="40"/>
  <c r="J414" i="40"/>
  <c r="J415" i="40"/>
  <c r="F416" i="40"/>
  <c r="G416" i="40"/>
  <c r="H416" i="40"/>
  <c r="I416" i="40"/>
  <c r="J416" i="40"/>
  <c r="K416" i="40"/>
  <c r="L416" i="40"/>
  <c r="M416" i="40"/>
  <c r="N416" i="40"/>
  <c r="F417" i="40"/>
  <c r="G417" i="40"/>
  <c r="H417" i="40"/>
  <c r="I417" i="40"/>
  <c r="J417" i="40"/>
  <c r="K417" i="40"/>
  <c r="L417" i="40"/>
  <c r="M417" i="40"/>
  <c r="N417" i="40"/>
  <c r="I418" i="40"/>
  <c r="N418" i="40"/>
  <c r="N419" i="40"/>
  <c r="D420" i="40"/>
  <c r="F420" i="40"/>
  <c r="G420" i="40"/>
  <c r="H420" i="40"/>
  <c r="I420" i="40"/>
  <c r="J420" i="40"/>
  <c r="K420" i="40"/>
  <c r="L420" i="40"/>
  <c r="M420" i="40"/>
  <c r="N420" i="40"/>
  <c r="O420" i="40"/>
  <c r="P420" i="40"/>
  <c r="Q420" i="40"/>
  <c r="R420" i="40"/>
  <c r="S420" i="40"/>
  <c r="T420" i="40"/>
  <c r="U420" i="40"/>
  <c r="V420" i="40"/>
  <c r="W420" i="40"/>
  <c r="X420" i="40"/>
  <c r="Y420" i="40"/>
  <c r="Z420" i="40"/>
  <c r="D422" i="40"/>
  <c r="D423" i="40"/>
  <c r="K425" i="40"/>
  <c r="L425" i="40"/>
  <c r="M425" i="40"/>
  <c r="N425" i="40"/>
  <c r="D428" i="40"/>
  <c r="G428" i="40"/>
  <c r="H428" i="40"/>
  <c r="I428" i="40"/>
  <c r="J428" i="40"/>
  <c r="K428" i="40"/>
  <c r="L428" i="40"/>
  <c r="M428" i="40"/>
  <c r="N428" i="40"/>
  <c r="O428" i="40"/>
  <c r="P428" i="40"/>
  <c r="Q428" i="40"/>
  <c r="R428" i="40"/>
  <c r="S428" i="40"/>
  <c r="T428" i="40"/>
  <c r="U428" i="40"/>
  <c r="V428" i="40"/>
  <c r="W428" i="40"/>
  <c r="X428" i="40"/>
  <c r="Y428" i="40"/>
  <c r="Z428" i="40"/>
  <c r="D429" i="40"/>
  <c r="F429" i="40"/>
  <c r="G429" i="40"/>
  <c r="H429" i="40"/>
  <c r="I429" i="40"/>
  <c r="J429" i="40"/>
  <c r="K429" i="40"/>
  <c r="L429" i="40"/>
  <c r="M429" i="40"/>
  <c r="N429" i="40"/>
  <c r="O429" i="40"/>
  <c r="P429" i="40"/>
  <c r="Q429" i="40"/>
  <c r="R429" i="40"/>
  <c r="S429" i="40"/>
  <c r="T429" i="40"/>
  <c r="U429" i="40"/>
  <c r="V429" i="40"/>
  <c r="W429" i="40"/>
  <c r="X429" i="40"/>
  <c r="Y429" i="40"/>
  <c r="Z429" i="40"/>
  <c r="D430" i="40"/>
  <c r="F430" i="40"/>
  <c r="G430" i="40"/>
  <c r="H430" i="40"/>
  <c r="I430" i="40"/>
  <c r="J430" i="40"/>
  <c r="K430" i="40"/>
  <c r="L430" i="40"/>
  <c r="M430" i="40"/>
  <c r="N430" i="40"/>
  <c r="D431" i="40"/>
  <c r="J431" i="40"/>
  <c r="K431" i="40"/>
  <c r="L431" i="40"/>
  <c r="M431" i="40"/>
  <c r="N431" i="40"/>
  <c r="D432" i="40"/>
  <c r="F432" i="40"/>
  <c r="G432" i="40"/>
  <c r="H432" i="40"/>
  <c r="I432" i="40"/>
  <c r="J432" i="40"/>
  <c r="K432" i="40"/>
  <c r="L432" i="40"/>
  <c r="M432" i="40"/>
  <c r="N432" i="40"/>
  <c r="D433" i="40"/>
  <c r="I433" i="40"/>
  <c r="N433" i="40"/>
  <c r="D434" i="40"/>
  <c r="N434" i="40"/>
  <c r="D435" i="40"/>
  <c r="F435" i="40"/>
  <c r="G435" i="40"/>
  <c r="H435" i="40"/>
  <c r="I435" i="40"/>
  <c r="J435" i="40"/>
  <c r="K435" i="40"/>
  <c r="L435" i="40"/>
  <c r="M435" i="40"/>
  <c r="N435" i="40"/>
  <c r="O435" i="40"/>
  <c r="P435" i="40"/>
  <c r="Q435" i="40"/>
  <c r="R435" i="40"/>
  <c r="S435" i="40"/>
  <c r="T435" i="40"/>
  <c r="U435" i="40"/>
  <c r="V435" i="40"/>
  <c r="W435" i="40"/>
  <c r="X435" i="40"/>
  <c r="Y435" i="40"/>
  <c r="Z435" i="40"/>
  <c r="F23" i="41"/>
  <c r="G23" i="41"/>
  <c r="H23" i="41"/>
  <c r="I23" i="41"/>
  <c r="J23" i="41"/>
  <c r="K23" i="41"/>
  <c r="L23" i="41"/>
  <c r="M23" i="41"/>
  <c r="N23" i="41"/>
  <c r="O23" i="41"/>
  <c r="P23" i="41"/>
  <c r="Q23" i="41"/>
  <c r="R23" i="41"/>
  <c r="S23" i="41"/>
  <c r="T23" i="41"/>
  <c r="U23" i="41"/>
  <c r="V23" i="41"/>
  <c r="W23" i="41"/>
  <c r="X23" i="41"/>
  <c r="Y23" i="41"/>
  <c r="Z23" i="41"/>
  <c r="F24" i="41"/>
  <c r="G24" i="41"/>
  <c r="H24" i="41"/>
  <c r="I24" i="41"/>
  <c r="J24" i="41"/>
  <c r="K24" i="41"/>
  <c r="L24" i="41"/>
  <c r="M24" i="41"/>
  <c r="N24" i="41"/>
  <c r="O24" i="41"/>
  <c r="P24" i="41"/>
  <c r="Q24" i="41"/>
  <c r="R24" i="41"/>
  <c r="S24" i="41"/>
  <c r="T24" i="41"/>
  <c r="U24" i="41"/>
  <c r="V24" i="41"/>
  <c r="W24" i="41"/>
  <c r="X24" i="41"/>
  <c r="Y24" i="41"/>
  <c r="Z24" i="41"/>
  <c r="F26" i="41"/>
  <c r="G26" i="41"/>
  <c r="H26" i="41"/>
  <c r="I26" i="41"/>
  <c r="J26" i="41"/>
  <c r="K26" i="41"/>
  <c r="L26" i="41"/>
  <c r="M26" i="41"/>
  <c r="N26" i="41"/>
  <c r="O26" i="41"/>
  <c r="P26" i="41"/>
  <c r="Q26" i="41"/>
  <c r="R26" i="41"/>
  <c r="S26" i="41"/>
  <c r="T26" i="41"/>
  <c r="U26" i="41"/>
  <c r="V26" i="41"/>
  <c r="W26" i="41"/>
  <c r="X26" i="41"/>
  <c r="Y26" i="41"/>
  <c r="Z26" i="41"/>
  <c r="F27" i="41"/>
  <c r="G27" i="41"/>
  <c r="H27" i="41"/>
  <c r="I27" i="41"/>
  <c r="J27" i="41"/>
  <c r="K27" i="41"/>
  <c r="L27" i="41"/>
  <c r="M27" i="41"/>
  <c r="N27" i="41"/>
  <c r="O27" i="41"/>
  <c r="P27" i="41"/>
  <c r="Q27" i="41"/>
  <c r="R27" i="41"/>
  <c r="S27" i="41"/>
  <c r="T27" i="41"/>
  <c r="U27" i="41"/>
  <c r="V27" i="41"/>
  <c r="W27" i="41"/>
  <c r="X27" i="41"/>
  <c r="Y27" i="41"/>
  <c r="Z27" i="41"/>
  <c r="F28" i="41"/>
  <c r="G28" i="41"/>
  <c r="H28" i="41"/>
  <c r="I28" i="41"/>
  <c r="J28" i="41"/>
  <c r="K28" i="41"/>
  <c r="L28" i="41"/>
  <c r="M28" i="41"/>
  <c r="N28" i="41"/>
  <c r="O28" i="41"/>
  <c r="P28" i="41"/>
  <c r="Q28" i="41"/>
  <c r="R28" i="41"/>
  <c r="S28" i="41"/>
  <c r="T28" i="41"/>
  <c r="U28" i="41"/>
  <c r="V28" i="41"/>
  <c r="W28" i="41"/>
  <c r="X28" i="41"/>
  <c r="Y28" i="41"/>
  <c r="Z28" i="41"/>
  <c r="F46" i="41"/>
  <c r="G46" i="41"/>
  <c r="H46" i="41"/>
  <c r="I46" i="41"/>
  <c r="J46" i="41"/>
  <c r="K46" i="41"/>
  <c r="L46" i="41"/>
  <c r="M46" i="41"/>
  <c r="N46" i="41"/>
  <c r="O46" i="41"/>
  <c r="P46" i="41"/>
  <c r="Q46" i="41"/>
  <c r="R46" i="41"/>
  <c r="S46" i="41"/>
  <c r="T46" i="41"/>
  <c r="U46" i="41"/>
  <c r="V46" i="41"/>
  <c r="W46" i="41"/>
  <c r="X46" i="41"/>
  <c r="Y46" i="41"/>
  <c r="Z46" i="41"/>
  <c r="F47" i="41"/>
  <c r="G47" i="41"/>
  <c r="H47" i="41"/>
  <c r="I47" i="41"/>
  <c r="J47" i="41"/>
  <c r="K47" i="41"/>
  <c r="L47" i="41"/>
  <c r="M47" i="41"/>
  <c r="N47" i="41"/>
  <c r="O47" i="41"/>
  <c r="P47" i="41"/>
  <c r="Q47" i="41"/>
  <c r="R47" i="41"/>
  <c r="S47" i="41"/>
  <c r="T47" i="41"/>
  <c r="U47" i="41"/>
  <c r="V47" i="41"/>
  <c r="W47" i="41"/>
  <c r="X47" i="41"/>
  <c r="Y47" i="41"/>
  <c r="Z47" i="41"/>
  <c r="F49" i="41"/>
  <c r="G49" i="41"/>
  <c r="H49" i="41"/>
  <c r="I49" i="41"/>
  <c r="J49" i="41"/>
  <c r="K49" i="41"/>
  <c r="L49" i="41"/>
  <c r="M49" i="41"/>
  <c r="N49" i="41"/>
  <c r="O49" i="41"/>
  <c r="P49" i="41"/>
  <c r="Q49" i="41"/>
  <c r="R49" i="41"/>
  <c r="S49" i="41"/>
  <c r="T49" i="41"/>
  <c r="U49" i="41"/>
  <c r="V49" i="41"/>
  <c r="W49" i="41"/>
  <c r="X49" i="41"/>
  <c r="Y49" i="41"/>
  <c r="Z49" i="41"/>
  <c r="F50" i="41"/>
  <c r="G50" i="41"/>
  <c r="H50" i="41"/>
  <c r="I50" i="41"/>
  <c r="J50" i="41"/>
  <c r="K50" i="41"/>
  <c r="L50" i="41"/>
  <c r="M50" i="41"/>
  <c r="N50" i="41"/>
  <c r="O50" i="41"/>
  <c r="P50" i="41"/>
  <c r="Q50" i="41"/>
  <c r="R50" i="41"/>
  <c r="S50" i="41"/>
  <c r="T50" i="41"/>
  <c r="U50" i="41"/>
  <c r="V50" i="41"/>
  <c r="W50" i="41"/>
  <c r="X50" i="41"/>
  <c r="Y50" i="41"/>
  <c r="Z50" i="41"/>
  <c r="F51" i="41"/>
  <c r="G51" i="41"/>
  <c r="H51" i="41"/>
  <c r="I51" i="41"/>
  <c r="J51" i="41"/>
  <c r="K51" i="41"/>
  <c r="L51" i="41"/>
  <c r="M51" i="41"/>
  <c r="N51" i="41"/>
  <c r="O51" i="41"/>
  <c r="P51" i="41"/>
  <c r="Q51" i="41"/>
  <c r="R51" i="41"/>
  <c r="S51" i="41"/>
  <c r="T51" i="41"/>
  <c r="U51" i="41"/>
  <c r="V51" i="41"/>
  <c r="W51" i="41"/>
  <c r="X51" i="41"/>
  <c r="Y51" i="41"/>
  <c r="Z51" i="41"/>
  <c r="F63" i="41"/>
  <c r="G63" i="41"/>
  <c r="H63" i="41"/>
  <c r="I63" i="41"/>
  <c r="J63" i="41"/>
  <c r="K63" i="41"/>
  <c r="L63" i="41"/>
  <c r="M63" i="41"/>
  <c r="N63" i="41"/>
  <c r="O63" i="41"/>
  <c r="P63" i="41"/>
  <c r="Q63" i="41"/>
  <c r="R63" i="41"/>
  <c r="S63" i="41"/>
  <c r="T63" i="41"/>
  <c r="U63" i="41"/>
  <c r="V63" i="41"/>
  <c r="W63" i="41"/>
  <c r="X63" i="41"/>
  <c r="Y63" i="41"/>
  <c r="Z63" i="41"/>
  <c r="F64" i="41"/>
  <c r="G64" i="41"/>
  <c r="H64" i="41"/>
  <c r="I64" i="41"/>
  <c r="J64" i="41"/>
  <c r="K64" i="41"/>
  <c r="L64" i="41"/>
  <c r="M64" i="41"/>
  <c r="N64" i="41"/>
  <c r="O64" i="41"/>
  <c r="P64" i="41"/>
  <c r="Q64" i="41"/>
  <c r="R64" i="41"/>
  <c r="S64" i="41"/>
  <c r="T64" i="41"/>
  <c r="U64" i="41"/>
  <c r="V64" i="41"/>
  <c r="W64" i="41"/>
  <c r="X64" i="41"/>
  <c r="Y64" i="41"/>
  <c r="Z64" i="41"/>
  <c r="F67" i="41"/>
  <c r="G67" i="41"/>
  <c r="H67" i="41"/>
  <c r="I67" i="41"/>
  <c r="J67" i="41"/>
  <c r="K67" i="41"/>
  <c r="L67" i="41"/>
  <c r="M67" i="41"/>
  <c r="N67" i="41"/>
  <c r="O67" i="41"/>
  <c r="P67" i="41"/>
  <c r="Q67" i="41"/>
  <c r="R67" i="41"/>
  <c r="S67" i="41"/>
  <c r="T67" i="41"/>
  <c r="U67" i="41"/>
  <c r="V67" i="41"/>
  <c r="W67" i="41"/>
  <c r="X67" i="41"/>
  <c r="Y67" i="41"/>
  <c r="Z67" i="41"/>
  <c r="F68" i="41"/>
  <c r="G68" i="41"/>
  <c r="H68" i="41"/>
  <c r="I68" i="41"/>
  <c r="J68" i="41"/>
  <c r="K68" i="41"/>
  <c r="L68" i="41"/>
  <c r="M68" i="41"/>
  <c r="N68" i="41"/>
  <c r="O68" i="41"/>
  <c r="P68" i="41"/>
  <c r="Q68" i="41"/>
  <c r="R68" i="41"/>
  <c r="S68" i="41"/>
  <c r="T68" i="41"/>
  <c r="U68" i="41"/>
  <c r="V68" i="41"/>
  <c r="W68" i="41"/>
  <c r="X68" i="41"/>
  <c r="Y68" i="41"/>
  <c r="Z68" i="41"/>
  <c r="F70" i="41"/>
  <c r="G70" i="41"/>
  <c r="H70" i="41"/>
  <c r="I70" i="41"/>
  <c r="J70" i="41"/>
  <c r="K70" i="41"/>
  <c r="L70" i="41"/>
  <c r="M70" i="41"/>
  <c r="N70" i="41"/>
  <c r="O70" i="41"/>
  <c r="P70" i="41"/>
  <c r="Q70" i="41"/>
  <c r="R70" i="41"/>
  <c r="S70" i="41"/>
  <c r="T70" i="41"/>
  <c r="U70" i="41"/>
  <c r="V70" i="41"/>
  <c r="W70" i="41"/>
  <c r="X70" i="41"/>
  <c r="Y70" i="41"/>
  <c r="Z70" i="41"/>
  <c r="F71" i="41"/>
  <c r="G71" i="41"/>
  <c r="H71" i="41"/>
  <c r="I71" i="41"/>
  <c r="J71" i="41"/>
  <c r="K71" i="41"/>
  <c r="L71" i="41"/>
  <c r="M71" i="41"/>
  <c r="N71" i="41"/>
  <c r="O71" i="41"/>
  <c r="P71" i="41"/>
  <c r="Q71" i="41"/>
  <c r="R71" i="41"/>
  <c r="S71" i="41"/>
  <c r="T71" i="41"/>
  <c r="U71" i="41"/>
  <c r="V71" i="41"/>
  <c r="W71" i="41"/>
  <c r="X71" i="41"/>
  <c r="Y71" i="41"/>
  <c r="Z71" i="41"/>
  <c r="F72" i="41"/>
  <c r="G72" i="41"/>
  <c r="H72" i="41"/>
  <c r="I72" i="41"/>
  <c r="J72" i="41"/>
  <c r="K72" i="41"/>
  <c r="L72" i="41"/>
  <c r="M72" i="41"/>
  <c r="N72" i="41"/>
  <c r="O72" i="41"/>
  <c r="P72" i="41"/>
  <c r="Q72" i="41"/>
  <c r="R72" i="41"/>
  <c r="S72" i="41"/>
  <c r="T72" i="41"/>
  <c r="U72" i="41"/>
  <c r="V72" i="41"/>
  <c r="W72" i="41"/>
  <c r="X72" i="41"/>
  <c r="Y72" i="41"/>
  <c r="Z72" i="41"/>
  <c r="F84" i="41"/>
  <c r="G84" i="41"/>
  <c r="H84" i="41"/>
  <c r="I84" i="41"/>
  <c r="J84" i="41"/>
  <c r="K84" i="41"/>
  <c r="L84" i="41"/>
  <c r="M84" i="41"/>
  <c r="N84" i="41"/>
  <c r="O84" i="41"/>
  <c r="P84" i="41"/>
  <c r="Q84" i="41"/>
  <c r="R84" i="41"/>
  <c r="S84" i="41"/>
  <c r="T84" i="41"/>
  <c r="U84" i="41"/>
  <c r="V84" i="41"/>
  <c r="W84" i="41"/>
  <c r="X84" i="41"/>
  <c r="Y84" i="41"/>
  <c r="Z84" i="41"/>
  <c r="F85" i="41"/>
  <c r="G85" i="41"/>
  <c r="H85" i="41"/>
  <c r="I85" i="41"/>
  <c r="J85" i="41"/>
  <c r="K85" i="41"/>
  <c r="L85" i="41"/>
  <c r="M85" i="41"/>
  <c r="N85" i="41"/>
  <c r="O85" i="41"/>
  <c r="P85" i="41"/>
  <c r="Q85" i="41"/>
  <c r="R85" i="41"/>
  <c r="S85" i="41"/>
  <c r="T85" i="41"/>
  <c r="U85" i="41"/>
  <c r="V85" i="41"/>
  <c r="W85" i="41"/>
  <c r="X85" i="41"/>
  <c r="Y85" i="41"/>
  <c r="Z85" i="41"/>
  <c r="F88" i="41"/>
  <c r="G88" i="41"/>
  <c r="H88" i="41"/>
  <c r="I88" i="41"/>
  <c r="J88" i="41"/>
  <c r="K88" i="41"/>
  <c r="L88" i="41"/>
  <c r="M88" i="41"/>
  <c r="N88" i="41"/>
  <c r="O88" i="41"/>
  <c r="P88" i="41"/>
  <c r="Q88" i="41"/>
  <c r="R88" i="41"/>
  <c r="S88" i="41"/>
  <c r="T88" i="41"/>
  <c r="U88" i="41"/>
  <c r="V88" i="41"/>
  <c r="W88" i="41"/>
  <c r="X88" i="41"/>
  <c r="Y88" i="41"/>
  <c r="Z88" i="41"/>
  <c r="F89" i="41"/>
  <c r="G89" i="41"/>
  <c r="H89" i="41"/>
  <c r="I89" i="41"/>
  <c r="J89" i="41"/>
  <c r="K89" i="41"/>
  <c r="L89" i="41"/>
  <c r="M89" i="41"/>
  <c r="N89" i="41"/>
  <c r="O89" i="41"/>
  <c r="P89" i="41"/>
  <c r="Q89" i="41"/>
  <c r="R89" i="41"/>
  <c r="S89" i="41"/>
  <c r="T89" i="41"/>
  <c r="U89" i="41"/>
  <c r="V89" i="41"/>
  <c r="W89" i="41"/>
  <c r="X89" i="41"/>
  <c r="Y89" i="41"/>
  <c r="Z89" i="41"/>
  <c r="F91" i="41"/>
  <c r="G91" i="41"/>
  <c r="H91" i="41"/>
  <c r="I91" i="41"/>
  <c r="J91" i="41"/>
  <c r="K91" i="41"/>
  <c r="L91" i="41"/>
  <c r="M91" i="41"/>
  <c r="N91" i="41"/>
  <c r="O91" i="41"/>
  <c r="P91" i="41"/>
  <c r="Q91" i="41"/>
  <c r="R91" i="41"/>
  <c r="S91" i="41"/>
  <c r="T91" i="41"/>
  <c r="U91" i="41"/>
  <c r="V91" i="41"/>
  <c r="W91" i="41"/>
  <c r="X91" i="41"/>
  <c r="Y91" i="41"/>
  <c r="Z91" i="41"/>
  <c r="F92" i="41"/>
  <c r="G92" i="41"/>
  <c r="H92" i="41"/>
  <c r="I92" i="41"/>
  <c r="J92" i="41"/>
  <c r="K92" i="41"/>
  <c r="L92" i="41"/>
  <c r="M92" i="41"/>
  <c r="N92" i="41"/>
  <c r="O92" i="41"/>
  <c r="P92" i="41"/>
  <c r="Q92" i="41"/>
  <c r="R92" i="41"/>
  <c r="S92" i="41"/>
  <c r="T92" i="41"/>
  <c r="U92" i="41"/>
  <c r="V92" i="41"/>
  <c r="W92" i="41"/>
  <c r="X92" i="41"/>
  <c r="Y92" i="41"/>
  <c r="Z92" i="41"/>
  <c r="F93" i="41"/>
  <c r="G93" i="41"/>
  <c r="H93" i="41"/>
  <c r="I93" i="41"/>
  <c r="J93" i="41"/>
  <c r="K93" i="41"/>
  <c r="L93" i="41"/>
  <c r="M93" i="41"/>
  <c r="N93" i="41"/>
  <c r="O93" i="41"/>
  <c r="P93" i="41"/>
  <c r="Q93" i="41"/>
  <c r="R93" i="41"/>
  <c r="S93" i="41"/>
  <c r="T93" i="41"/>
  <c r="U93" i="41"/>
  <c r="V93" i="41"/>
  <c r="W93" i="41"/>
  <c r="X93" i="41"/>
  <c r="Y93" i="41"/>
  <c r="Z93" i="41"/>
  <c r="F105" i="41"/>
  <c r="G105" i="41"/>
  <c r="H105" i="41"/>
  <c r="I105" i="41"/>
  <c r="J105" i="41"/>
  <c r="K105" i="41"/>
  <c r="L105" i="41"/>
  <c r="M105" i="41"/>
  <c r="N105" i="41"/>
  <c r="O105" i="41"/>
  <c r="P105" i="41"/>
  <c r="Q105" i="41"/>
  <c r="R105" i="41"/>
  <c r="S105" i="41"/>
  <c r="T105" i="41"/>
  <c r="U105" i="41"/>
  <c r="V105" i="41"/>
  <c r="W105" i="41"/>
  <c r="X105" i="41"/>
  <c r="Y105" i="41"/>
  <c r="Z105" i="41"/>
  <c r="F106" i="41"/>
  <c r="G106" i="41"/>
  <c r="H106" i="41"/>
  <c r="I106" i="41"/>
  <c r="J106" i="41"/>
  <c r="K106" i="41"/>
  <c r="L106" i="41"/>
  <c r="M106" i="41"/>
  <c r="N106" i="41"/>
  <c r="O106" i="41"/>
  <c r="P106" i="41"/>
  <c r="Q106" i="41"/>
  <c r="R106" i="41"/>
  <c r="S106" i="41"/>
  <c r="T106" i="41"/>
  <c r="U106" i="41"/>
  <c r="V106" i="41"/>
  <c r="W106" i="41"/>
  <c r="X106" i="41"/>
  <c r="Y106" i="41"/>
  <c r="Z106" i="41"/>
  <c r="F109" i="41"/>
  <c r="G109" i="41"/>
  <c r="H109" i="41"/>
  <c r="I109" i="41"/>
  <c r="J109" i="41"/>
  <c r="K109" i="41"/>
  <c r="L109" i="41"/>
  <c r="M109" i="41"/>
  <c r="N109" i="41"/>
  <c r="O109" i="41"/>
  <c r="P109" i="41"/>
  <c r="Q109" i="41"/>
  <c r="R109" i="41"/>
  <c r="S109" i="41"/>
  <c r="T109" i="41"/>
  <c r="U109" i="41"/>
  <c r="V109" i="41"/>
  <c r="W109" i="41"/>
  <c r="X109" i="41"/>
  <c r="Y109" i="41"/>
  <c r="Z109" i="41"/>
  <c r="F110" i="41"/>
  <c r="G110" i="41"/>
  <c r="H110" i="41"/>
  <c r="I110" i="41"/>
  <c r="J110" i="41"/>
  <c r="K110" i="41"/>
  <c r="L110" i="41"/>
  <c r="M110" i="41"/>
  <c r="N110" i="41"/>
  <c r="O110" i="41"/>
  <c r="P110" i="41"/>
  <c r="Q110" i="41"/>
  <c r="R110" i="41"/>
  <c r="S110" i="41"/>
  <c r="T110" i="41"/>
  <c r="U110" i="41"/>
  <c r="V110" i="41"/>
  <c r="W110" i="41"/>
  <c r="X110" i="41"/>
  <c r="Y110" i="41"/>
  <c r="Z110" i="41"/>
  <c r="F112" i="41"/>
  <c r="G112" i="41"/>
  <c r="H112" i="41"/>
  <c r="I112" i="41"/>
  <c r="J112" i="41"/>
  <c r="K112" i="41"/>
  <c r="L112" i="41"/>
  <c r="M112" i="41"/>
  <c r="N112" i="41"/>
  <c r="O112" i="41"/>
  <c r="P112" i="41"/>
  <c r="Q112" i="41"/>
  <c r="R112" i="41"/>
  <c r="S112" i="41"/>
  <c r="T112" i="41"/>
  <c r="U112" i="41"/>
  <c r="V112" i="41"/>
  <c r="W112" i="41"/>
  <c r="X112" i="41"/>
  <c r="Y112" i="41"/>
  <c r="Z112" i="41"/>
  <c r="F113" i="41"/>
  <c r="G113" i="41"/>
  <c r="H113" i="41"/>
  <c r="I113" i="41"/>
  <c r="J113" i="41"/>
  <c r="K113" i="41"/>
  <c r="L113" i="41"/>
  <c r="M113" i="41"/>
  <c r="N113" i="41"/>
  <c r="O113" i="41"/>
  <c r="P113" i="41"/>
  <c r="Q113" i="41"/>
  <c r="R113" i="41"/>
  <c r="S113" i="41"/>
  <c r="T113" i="41"/>
  <c r="U113" i="41"/>
  <c r="V113" i="41"/>
  <c r="W113" i="41"/>
  <c r="X113" i="41"/>
  <c r="Y113" i="41"/>
  <c r="Z113" i="41"/>
  <c r="F114" i="41"/>
  <c r="G114" i="41"/>
  <c r="H114" i="41"/>
  <c r="I114" i="41"/>
  <c r="J114" i="41"/>
  <c r="K114" i="41"/>
  <c r="L114" i="41"/>
  <c r="M114" i="41"/>
  <c r="N114" i="41"/>
  <c r="O114" i="41"/>
  <c r="P114" i="41"/>
  <c r="Q114" i="41"/>
  <c r="R114" i="41"/>
  <c r="S114" i="41"/>
  <c r="T114" i="41"/>
  <c r="U114" i="41"/>
  <c r="V114" i="41"/>
  <c r="W114" i="41"/>
  <c r="X114" i="41"/>
  <c r="Y114" i="41"/>
  <c r="Z114" i="41"/>
  <c r="F131" i="41"/>
  <c r="G131" i="41"/>
  <c r="H131" i="41"/>
  <c r="I131" i="41"/>
  <c r="J131" i="41"/>
  <c r="K131" i="41"/>
  <c r="L131" i="41"/>
  <c r="M131" i="41"/>
  <c r="N131" i="41"/>
  <c r="O131" i="41"/>
  <c r="P131" i="41"/>
  <c r="Q131" i="41"/>
  <c r="R131" i="41"/>
  <c r="S131" i="41"/>
  <c r="T131" i="41"/>
  <c r="U131" i="41"/>
  <c r="V131" i="41"/>
  <c r="W131" i="41"/>
  <c r="X131" i="41"/>
  <c r="Y131" i="41"/>
  <c r="Z131" i="41"/>
  <c r="F132" i="41"/>
  <c r="G132" i="41"/>
  <c r="H132" i="41"/>
  <c r="I132" i="41"/>
  <c r="J132" i="41"/>
  <c r="K132" i="41"/>
  <c r="L132" i="41"/>
  <c r="M132" i="41"/>
  <c r="N132" i="41"/>
  <c r="O132" i="41"/>
  <c r="P132" i="41"/>
  <c r="Q132" i="41"/>
  <c r="R132" i="41"/>
  <c r="S132" i="41"/>
  <c r="T132" i="41"/>
  <c r="U132" i="41"/>
  <c r="V132" i="41"/>
  <c r="W132" i="41"/>
  <c r="X132" i="41"/>
  <c r="Y132" i="41"/>
  <c r="Z132" i="41"/>
  <c r="F134" i="41"/>
  <c r="G134" i="41"/>
  <c r="H134" i="41"/>
  <c r="I134" i="41"/>
  <c r="J134" i="41"/>
  <c r="K134" i="41"/>
  <c r="L134" i="41"/>
  <c r="M134" i="41"/>
  <c r="N134" i="41"/>
  <c r="O134" i="41"/>
  <c r="P134" i="41"/>
  <c r="Q134" i="41"/>
  <c r="R134" i="41"/>
  <c r="S134" i="41"/>
  <c r="T134" i="41"/>
  <c r="U134" i="41"/>
  <c r="V134" i="41"/>
  <c r="W134" i="41"/>
  <c r="X134" i="41"/>
  <c r="Y134" i="41"/>
  <c r="Z134" i="41"/>
  <c r="F135" i="41"/>
  <c r="G135" i="41"/>
  <c r="H135" i="41"/>
  <c r="I135" i="41"/>
  <c r="J135" i="41"/>
  <c r="K135" i="41"/>
  <c r="L135" i="41"/>
  <c r="M135" i="41"/>
  <c r="N135" i="41"/>
  <c r="O135" i="41"/>
  <c r="P135" i="41"/>
  <c r="Q135" i="41"/>
  <c r="R135" i="41"/>
  <c r="S135" i="41"/>
  <c r="T135" i="41"/>
  <c r="U135" i="41"/>
  <c r="V135" i="41"/>
  <c r="W135" i="41"/>
  <c r="X135" i="41"/>
  <c r="Y135" i="41"/>
  <c r="Z135" i="41"/>
  <c r="F136" i="41"/>
  <c r="G136" i="41"/>
  <c r="H136" i="41"/>
  <c r="I136" i="41"/>
  <c r="J136" i="41"/>
  <c r="K136" i="41"/>
  <c r="L136" i="41"/>
  <c r="M136" i="41"/>
  <c r="N136" i="41"/>
  <c r="O136" i="41"/>
  <c r="P136" i="41"/>
  <c r="Q136" i="41"/>
  <c r="R136" i="41"/>
  <c r="S136" i="41"/>
  <c r="T136" i="41"/>
  <c r="U136" i="41"/>
  <c r="V136" i="41"/>
  <c r="W136" i="41"/>
  <c r="X136" i="41"/>
  <c r="Y136" i="41"/>
  <c r="Z136" i="41"/>
  <c r="F138" i="41"/>
  <c r="G138" i="41"/>
  <c r="H138" i="41"/>
  <c r="I138" i="41"/>
  <c r="J138" i="41"/>
  <c r="K138" i="41"/>
  <c r="L138" i="41"/>
  <c r="M138" i="41"/>
  <c r="N138" i="41"/>
  <c r="O138" i="41"/>
  <c r="P138" i="41"/>
  <c r="Q138" i="41"/>
  <c r="R138" i="41"/>
  <c r="S138" i="41"/>
  <c r="T138" i="41"/>
  <c r="U138" i="41"/>
  <c r="V138" i="41"/>
  <c r="W138" i="41"/>
  <c r="X138" i="41"/>
  <c r="Y138" i="41"/>
  <c r="Z138" i="41"/>
  <c r="G141" i="41"/>
  <c r="H141" i="41"/>
  <c r="I141" i="41"/>
  <c r="J141" i="41"/>
  <c r="K141" i="41"/>
  <c r="L141" i="41"/>
  <c r="M141" i="41"/>
  <c r="N141" i="41"/>
  <c r="O141" i="41"/>
  <c r="P141" i="41"/>
  <c r="Q141" i="41"/>
  <c r="R141" i="41"/>
  <c r="S141" i="41"/>
  <c r="T141" i="41"/>
  <c r="U141" i="41"/>
  <c r="V141" i="41"/>
  <c r="W141" i="41"/>
  <c r="X141" i="41"/>
  <c r="Y141" i="41"/>
  <c r="Z141" i="41"/>
  <c r="I142" i="41"/>
  <c r="F143" i="41"/>
  <c r="G143" i="41"/>
  <c r="H143" i="41"/>
  <c r="I143" i="41"/>
  <c r="J143" i="41"/>
  <c r="K143" i="41"/>
  <c r="L143" i="41"/>
  <c r="M143" i="41"/>
  <c r="N143" i="41"/>
  <c r="O143" i="41"/>
  <c r="P143" i="41"/>
  <c r="Q143" i="41"/>
  <c r="R143" i="41"/>
  <c r="S143" i="41"/>
  <c r="T143" i="41"/>
  <c r="U143" i="41"/>
  <c r="V143" i="41"/>
  <c r="W143" i="41"/>
  <c r="X143" i="41"/>
  <c r="Y143" i="41"/>
  <c r="Z143" i="41"/>
  <c r="F144" i="41"/>
  <c r="G144" i="41"/>
  <c r="H144" i="41"/>
  <c r="I144" i="41"/>
  <c r="J144" i="41"/>
  <c r="K144" i="41"/>
  <c r="L144" i="41"/>
  <c r="M144" i="41"/>
  <c r="N144" i="41"/>
  <c r="O144" i="41"/>
  <c r="P144" i="41"/>
  <c r="Q144" i="41"/>
  <c r="R144" i="41"/>
  <c r="S144" i="41"/>
  <c r="T144" i="41"/>
  <c r="U144" i="41"/>
  <c r="V144" i="41"/>
  <c r="W144" i="41"/>
  <c r="X144" i="41"/>
  <c r="Y144" i="41"/>
  <c r="Z144" i="41"/>
  <c r="F146" i="41"/>
  <c r="G146" i="41"/>
  <c r="H146" i="41"/>
  <c r="I146" i="41"/>
  <c r="J146" i="41"/>
  <c r="K146" i="41"/>
  <c r="L146" i="41"/>
  <c r="M146" i="41"/>
  <c r="N146" i="41"/>
  <c r="O146" i="41"/>
  <c r="P146" i="41"/>
  <c r="Q146" i="41"/>
  <c r="R146" i="41"/>
  <c r="S146" i="41"/>
  <c r="T146" i="41"/>
  <c r="U146" i="41"/>
  <c r="V146" i="41"/>
  <c r="W146" i="41"/>
  <c r="X146" i="41"/>
  <c r="Y146" i="41"/>
  <c r="Z146" i="41"/>
  <c r="F147" i="41"/>
  <c r="G147" i="41"/>
  <c r="H147" i="41"/>
  <c r="I147" i="41"/>
  <c r="J147" i="41"/>
  <c r="K147" i="41"/>
  <c r="L147" i="41"/>
  <c r="M147" i="41"/>
  <c r="N147" i="41"/>
  <c r="O147" i="41"/>
  <c r="P147" i="41"/>
  <c r="Q147" i="41"/>
  <c r="R147" i="41"/>
  <c r="S147" i="41"/>
  <c r="T147" i="41"/>
  <c r="U147" i="41"/>
  <c r="V147" i="41"/>
  <c r="W147" i="41"/>
  <c r="X147" i="41"/>
  <c r="Y147" i="41"/>
  <c r="Z147" i="41"/>
  <c r="F148" i="41"/>
  <c r="G148" i="41"/>
  <c r="H148" i="41"/>
  <c r="I148" i="41"/>
  <c r="J148" i="41"/>
  <c r="K148" i="41"/>
  <c r="L148" i="41"/>
  <c r="M148" i="41"/>
  <c r="N148" i="41"/>
  <c r="O148" i="41"/>
  <c r="P148" i="41"/>
  <c r="Q148" i="41"/>
  <c r="R148" i="41"/>
  <c r="S148" i="41"/>
  <c r="T148" i="41"/>
  <c r="U148" i="41"/>
  <c r="V148" i="41"/>
  <c r="W148" i="41"/>
  <c r="X148" i="41"/>
  <c r="Y148" i="41"/>
  <c r="Z148" i="41"/>
  <c r="I150" i="41"/>
  <c r="F152" i="41"/>
  <c r="G152" i="41"/>
  <c r="H152" i="41"/>
  <c r="I152" i="41"/>
  <c r="J152" i="41"/>
  <c r="K152" i="41"/>
  <c r="L152" i="41"/>
  <c r="M152" i="41"/>
  <c r="N152" i="41"/>
  <c r="O152" i="41"/>
  <c r="P152" i="41"/>
  <c r="Q152" i="41"/>
  <c r="R152" i="41"/>
  <c r="S152" i="41"/>
  <c r="T152" i="41"/>
  <c r="U152" i="41"/>
  <c r="V152" i="41"/>
  <c r="W152" i="41"/>
  <c r="X152" i="41"/>
  <c r="Y152" i="41"/>
  <c r="Z152" i="41"/>
  <c r="L155" i="41"/>
  <c r="I156" i="41"/>
  <c r="L157" i="41"/>
  <c r="L158" i="41"/>
  <c r="I159" i="41"/>
  <c r="L159" i="41"/>
  <c r="F162" i="41"/>
  <c r="G162" i="41"/>
  <c r="H162" i="41"/>
  <c r="I162" i="41"/>
  <c r="J162" i="41"/>
  <c r="K162" i="41"/>
  <c r="L162" i="41"/>
  <c r="D196" i="41"/>
  <c r="F196" i="41"/>
  <c r="G196" i="41"/>
  <c r="H196" i="41"/>
  <c r="I196" i="41"/>
  <c r="J196" i="41"/>
  <c r="K196" i="41"/>
  <c r="L196" i="41"/>
  <c r="M196" i="41"/>
  <c r="N196" i="41"/>
  <c r="O196" i="41"/>
  <c r="P196" i="41"/>
  <c r="Q196" i="41"/>
  <c r="R196" i="41"/>
  <c r="S196" i="41"/>
  <c r="T196" i="41"/>
  <c r="U196" i="41"/>
  <c r="V196" i="41"/>
  <c r="W196" i="41"/>
  <c r="X196" i="41"/>
  <c r="Y196" i="41"/>
  <c r="Z196" i="41"/>
  <c r="F200" i="41"/>
  <c r="G200" i="41"/>
  <c r="H200" i="41"/>
  <c r="I200" i="41"/>
  <c r="J200" i="41"/>
  <c r="K200" i="41"/>
  <c r="L200" i="41"/>
  <c r="M200" i="41"/>
  <c r="N200" i="41"/>
  <c r="O200" i="41"/>
  <c r="P200" i="41"/>
  <c r="Q200" i="41"/>
  <c r="R200" i="41"/>
  <c r="S200" i="41"/>
  <c r="T200" i="41"/>
  <c r="U200" i="41"/>
  <c r="V200" i="41"/>
  <c r="W200" i="41"/>
  <c r="X200" i="41"/>
  <c r="Y200" i="41"/>
  <c r="Z200" i="41"/>
  <c r="F202" i="41"/>
  <c r="G202" i="41"/>
  <c r="H202" i="41"/>
  <c r="I202" i="41"/>
  <c r="J202" i="41"/>
  <c r="K202" i="41"/>
  <c r="L202" i="41"/>
  <c r="M202" i="41"/>
  <c r="N202" i="41"/>
  <c r="O202" i="41"/>
  <c r="P202" i="41"/>
  <c r="Q202" i="41"/>
  <c r="R202" i="41"/>
  <c r="S202" i="41"/>
  <c r="T202" i="41"/>
  <c r="U202" i="41"/>
  <c r="V202" i="41"/>
  <c r="W202" i="41"/>
  <c r="X202" i="41"/>
  <c r="Y202" i="41"/>
  <c r="Z202" i="41"/>
  <c r="F206" i="41"/>
  <c r="G206" i="41"/>
  <c r="H206" i="41"/>
  <c r="I206" i="41"/>
  <c r="J206" i="41"/>
  <c r="K206" i="41"/>
  <c r="L206" i="41"/>
  <c r="M206" i="41"/>
  <c r="N206" i="41"/>
  <c r="O206" i="41"/>
  <c r="P206" i="41"/>
  <c r="Q206" i="41"/>
  <c r="R206" i="41"/>
  <c r="S206" i="41"/>
  <c r="T206" i="41"/>
  <c r="U206" i="41"/>
  <c r="V206" i="41"/>
  <c r="W206" i="41"/>
  <c r="X206" i="41"/>
  <c r="Y206" i="41"/>
  <c r="Z206" i="41"/>
  <c r="F207" i="41"/>
  <c r="G207" i="41"/>
  <c r="H207" i="41"/>
  <c r="I207" i="41"/>
  <c r="J207" i="41"/>
  <c r="K207" i="41"/>
  <c r="L207" i="41"/>
  <c r="M207" i="41"/>
  <c r="N207" i="41"/>
  <c r="O207" i="41"/>
  <c r="P207" i="41"/>
  <c r="Q207" i="41"/>
  <c r="R207" i="41"/>
  <c r="S207" i="41"/>
  <c r="T207" i="41"/>
  <c r="U207" i="41"/>
  <c r="V207" i="41"/>
  <c r="W207" i="41"/>
  <c r="X207" i="41"/>
  <c r="Y207" i="41"/>
  <c r="Z207" i="41"/>
  <c r="F208" i="41"/>
  <c r="G208" i="41"/>
  <c r="H208" i="41"/>
  <c r="I208" i="41"/>
  <c r="J208" i="41"/>
  <c r="K208" i="41"/>
  <c r="L208" i="41"/>
  <c r="M208" i="41"/>
  <c r="N208" i="41"/>
  <c r="O208" i="41"/>
  <c r="P208" i="41"/>
  <c r="Q208" i="41"/>
  <c r="R208" i="41"/>
  <c r="S208" i="41"/>
  <c r="T208" i="41"/>
  <c r="U208" i="41"/>
  <c r="V208" i="41"/>
  <c r="W208" i="41"/>
  <c r="X208" i="41"/>
  <c r="Y208" i="41"/>
  <c r="Z208" i="41"/>
  <c r="J211" i="41"/>
  <c r="K211" i="41"/>
  <c r="L211" i="41"/>
  <c r="M211" i="41"/>
  <c r="N211" i="41"/>
  <c r="O211" i="41"/>
  <c r="P211" i="41"/>
  <c r="Q211" i="41"/>
  <c r="R211" i="41"/>
  <c r="S211" i="41"/>
  <c r="T211" i="41"/>
  <c r="U211" i="41"/>
  <c r="V211" i="41"/>
  <c r="W211" i="41"/>
  <c r="X211" i="41"/>
  <c r="Y211" i="41"/>
  <c r="Z211" i="41"/>
  <c r="I212" i="41"/>
  <c r="I214" i="41"/>
  <c r="J214" i="41"/>
  <c r="K214" i="41"/>
  <c r="L214" i="41"/>
  <c r="M214" i="41"/>
  <c r="N214" i="41"/>
  <c r="O214" i="41"/>
  <c r="P214" i="41"/>
  <c r="Q214" i="41"/>
  <c r="R214" i="41"/>
  <c r="S214" i="41"/>
  <c r="T214" i="41"/>
  <c r="U214" i="41"/>
  <c r="V214" i="41"/>
  <c r="W214" i="41"/>
  <c r="X214" i="41"/>
  <c r="Y214" i="41"/>
  <c r="Z214" i="41"/>
  <c r="I216" i="41"/>
  <c r="J216" i="41"/>
  <c r="K216" i="41"/>
  <c r="L216" i="41"/>
  <c r="M216" i="41"/>
  <c r="N216" i="41"/>
  <c r="O216" i="41"/>
  <c r="P216" i="41"/>
  <c r="Q216" i="41"/>
  <c r="R216" i="41"/>
  <c r="S216" i="41"/>
  <c r="T216" i="41"/>
  <c r="U216" i="41"/>
  <c r="V216" i="41"/>
  <c r="W216" i="41"/>
  <c r="X216" i="41"/>
  <c r="Y216" i="41"/>
  <c r="Z216" i="41"/>
  <c r="I217" i="41"/>
  <c r="J217" i="41"/>
  <c r="K217" i="41"/>
  <c r="L217" i="41"/>
  <c r="M217" i="41"/>
  <c r="N217" i="41"/>
  <c r="O217" i="41"/>
  <c r="P217" i="41"/>
  <c r="Q217" i="41"/>
  <c r="R217" i="41"/>
  <c r="S217" i="41"/>
  <c r="T217" i="41"/>
  <c r="U217" i="41"/>
  <c r="V217" i="41"/>
  <c r="W217" i="41"/>
  <c r="X217" i="41"/>
  <c r="Y217" i="41"/>
  <c r="Z217" i="41"/>
  <c r="F218" i="41"/>
  <c r="G218" i="41"/>
  <c r="H218" i="41"/>
  <c r="I218" i="41"/>
  <c r="J218" i="41"/>
  <c r="K218" i="41"/>
  <c r="L218" i="41"/>
  <c r="M218" i="41"/>
  <c r="N218" i="41"/>
  <c r="O218" i="41"/>
  <c r="P218" i="41"/>
  <c r="Q218" i="41"/>
  <c r="R218" i="41"/>
  <c r="S218" i="41"/>
  <c r="T218" i="41"/>
  <c r="U218" i="41"/>
  <c r="V218" i="41"/>
  <c r="W218" i="41"/>
  <c r="X218" i="41"/>
  <c r="Y218" i="41"/>
  <c r="Z218" i="41"/>
  <c r="I220" i="41"/>
  <c r="F222" i="41"/>
  <c r="G222" i="41"/>
  <c r="H222" i="41"/>
  <c r="I222" i="41"/>
  <c r="J222" i="41"/>
  <c r="K222" i="41"/>
  <c r="L222" i="41"/>
  <c r="M222" i="41"/>
  <c r="N222" i="41"/>
  <c r="O222" i="41"/>
  <c r="P222" i="41"/>
  <c r="Q222" i="41"/>
  <c r="R222" i="41"/>
  <c r="S222" i="41"/>
  <c r="T222" i="41"/>
  <c r="U222" i="41"/>
  <c r="V222" i="41"/>
  <c r="W222" i="41"/>
  <c r="X222" i="41"/>
  <c r="Y222" i="41"/>
  <c r="Z222" i="41"/>
  <c r="L225" i="41"/>
  <c r="L226" i="41"/>
  <c r="L227" i="41"/>
  <c r="L228" i="41"/>
  <c r="F230" i="41"/>
  <c r="G230" i="41"/>
  <c r="H230" i="41"/>
  <c r="I230" i="41"/>
  <c r="J230" i="41"/>
  <c r="K230" i="41"/>
  <c r="L230" i="41"/>
  <c r="F244" i="41"/>
  <c r="G244" i="41"/>
  <c r="H244" i="41"/>
  <c r="I244" i="41"/>
  <c r="J244" i="41"/>
  <c r="K244" i="41"/>
  <c r="L244" i="41"/>
  <c r="M244" i="41"/>
  <c r="N244" i="41"/>
  <c r="O244" i="41"/>
  <c r="P244" i="41"/>
  <c r="Q244" i="41"/>
  <c r="R244" i="41"/>
  <c r="S244" i="41"/>
  <c r="T244" i="41"/>
  <c r="U244" i="41"/>
  <c r="V244" i="41"/>
  <c r="W244" i="41"/>
  <c r="X244" i="41"/>
  <c r="Y244" i="41"/>
  <c r="Z244" i="41"/>
  <c r="F245" i="41"/>
  <c r="G245" i="41"/>
  <c r="H245" i="41"/>
  <c r="I245" i="41"/>
  <c r="J245" i="41"/>
  <c r="K245" i="41"/>
  <c r="L245" i="41"/>
  <c r="M245" i="41"/>
  <c r="N245" i="41"/>
  <c r="O245" i="41"/>
  <c r="P245" i="41"/>
  <c r="Q245" i="41"/>
  <c r="R245" i="41"/>
  <c r="S245" i="41"/>
  <c r="T245" i="41"/>
  <c r="U245" i="41"/>
  <c r="V245" i="41"/>
  <c r="W245" i="41"/>
  <c r="X245" i="41"/>
  <c r="Y245" i="41"/>
  <c r="Z245" i="41"/>
  <c r="F248" i="41"/>
  <c r="G248" i="41"/>
  <c r="H248" i="41"/>
  <c r="I248" i="41"/>
  <c r="J248" i="41"/>
  <c r="K248" i="41"/>
  <c r="L248" i="41"/>
  <c r="M248" i="41"/>
  <c r="N248" i="41"/>
  <c r="O248" i="41"/>
  <c r="P248" i="41"/>
  <c r="Q248" i="41"/>
  <c r="R248" i="41"/>
  <c r="S248" i="41"/>
  <c r="T248" i="41"/>
  <c r="U248" i="41"/>
  <c r="V248" i="41"/>
  <c r="W248" i="41"/>
  <c r="X248" i="41"/>
  <c r="Y248" i="41"/>
  <c r="Z248" i="41"/>
  <c r="F249" i="41"/>
  <c r="G249" i="41"/>
  <c r="H249" i="41"/>
  <c r="I249" i="41"/>
  <c r="J249" i="41"/>
  <c r="K249" i="41"/>
  <c r="L249" i="41"/>
  <c r="M249" i="41"/>
  <c r="N249" i="41"/>
  <c r="O249" i="41"/>
  <c r="P249" i="41"/>
  <c r="Q249" i="41"/>
  <c r="R249" i="41"/>
  <c r="S249" i="41"/>
  <c r="T249" i="41"/>
  <c r="U249" i="41"/>
  <c r="V249" i="41"/>
  <c r="W249" i="41"/>
  <c r="X249" i="41"/>
  <c r="Y249" i="41"/>
  <c r="Z249" i="41"/>
  <c r="F251" i="41"/>
  <c r="G251" i="41"/>
  <c r="H251" i="41"/>
  <c r="I251" i="41"/>
  <c r="J251" i="41"/>
  <c r="K251" i="41"/>
  <c r="L251" i="41"/>
  <c r="M251" i="41"/>
  <c r="N251" i="41"/>
  <c r="O251" i="41"/>
  <c r="P251" i="41"/>
  <c r="Q251" i="41"/>
  <c r="R251" i="41"/>
  <c r="S251" i="41"/>
  <c r="T251" i="41"/>
  <c r="U251" i="41"/>
  <c r="V251" i="41"/>
  <c r="W251" i="41"/>
  <c r="X251" i="41"/>
  <c r="Y251" i="41"/>
  <c r="Z251" i="41"/>
  <c r="F252" i="41"/>
  <c r="G252" i="41"/>
  <c r="H252" i="41"/>
  <c r="I252" i="41"/>
  <c r="J252" i="41"/>
  <c r="K252" i="41"/>
  <c r="L252" i="41"/>
  <c r="M252" i="41"/>
  <c r="N252" i="41"/>
  <c r="O252" i="41"/>
  <c r="P252" i="41"/>
  <c r="Q252" i="41"/>
  <c r="R252" i="41"/>
  <c r="S252" i="41"/>
  <c r="T252" i="41"/>
  <c r="U252" i="41"/>
  <c r="V252" i="41"/>
  <c r="W252" i="41"/>
  <c r="X252" i="41"/>
  <c r="Y252" i="41"/>
  <c r="Z252" i="41"/>
  <c r="F253" i="41"/>
  <c r="G253" i="41"/>
  <c r="H253" i="41"/>
  <c r="I253" i="41"/>
  <c r="J253" i="41"/>
  <c r="K253" i="41"/>
  <c r="L253" i="41"/>
  <c r="M253" i="41"/>
  <c r="N253" i="41"/>
  <c r="O253" i="41"/>
  <c r="P253" i="41"/>
  <c r="Q253" i="41"/>
  <c r="R253" i="41"/>
  <c r="S253" i="41"/>
  <c r="T253" i="41"/>
  <c r="U253" i="41"/>
  <c r="V253" i="41"/>
  <c r="W253" i="41"/>
  <c r="X253" i="41"/>
  <c r="Y253" i="41"/>
  <c r="Z253" i="41"/>
  <c r="J256" i="41"/>
  <c r="K256" i="41"/>
  <c r="L256" i="41"/>
  <c r="M256" i="41"/>
  <c r="N256" i="41"/>
  <c r="O256" i="41"/>
  <c r="P256" i="41"/>
  <c r="Q256" i="41"/>
  <c r="R256" i="41"/>
  <c r="S256" i="41"/>
  <c r="T256" i="41"/>
  <c r="U256" i="41"/>
  <c r="V256" i="41"/>
  <c r="W256" i="41"/>
  <c r="X256" i="41"/>
  <c r="Y256" i="41"/>
  <c r="Z256" i="41"/>
  <c r="I257" i="41"/>
  <c r="I259" i="41"/>
  <c r="J259" i="41"/>
  <c r="K259" i="41"/>
  <c r="L259" i="41"/>
  <c r="M259" i="41"/>
  <c r="N259" i="41"/>
  <c r="O259" i="41"/>
  <c r="P259" i="41"/>
  <c r="Q259" i="41"/>
  <c r="R259" i="41"/>
  <c r="S259" i="41"/>
  <c r="T259" i="41"/>
  <c r="U259" i="41"/>
  <c r="V259" i="41"/>
  <c r="W259" i="41"/>
  <c r="X259" i="41"/>
  <c r="Y259" i="41"/>
  <c r="Z259" i="41"/>
  <c r="I261" i="41"/>
  <c r="J261" i="41"/>
  <c r="K261" i="41"/>
  <c r="L261" i="41"/>
  <c r="M261" i="41"/>
  <c r="N261" i="41"/>
  <c r="O261" i="41"/>
  <c r="P261" i="41"/>
  <c r="Q261" i="41"/>
  <c r="R261" i="41"/>
  <c r="S261" i="41"/>
  <c r="T261" i="41"/>
  <c r="U261" i="41"/>
  <c r="V261" i="41"/>
  <c r="W261" i="41"/>
  <c r="X261" i="41"/>
  <c r="Y261" i="41"/>
  <c r="Z261" i="41"/>
  <c r="I262" i="41"/>
  <c r="J262" i="41"/>
  <c r="K262" i="41"/>
  <c r="L262" i="41"/>
  <c r="M262" i="41"/>
  <c r="N262" i="41"/>
  <c r="O262" i="41"/>
  <c r="P262" i="41"/>
  <c r="Q262" i="41"/>
  <c r="R262" i="41"/>
  <c r="S262" i="41"/>
  <c r="T262" i="41"/>
  <c r="U262" i="41"/>
  <c r="V262" i="41"/>
  <c r="W262" i="41"/>
  <c r="X262" i="41"/>
  <c r="Y262" i="41"/>
  <c r="Z262" i="41"/>
  <c r="F263" i="41"/>
  <c r="G263" i="41"/>
  <c r="H263" i="41"/>
  <c r="I263" i="41"/>
  <c r="J263" i="41"/>
  <c r="K263" i="41"/>
  <c r="L263" i="41"/>
  <c r="M263" i="41"/>
  <c r="N263" i="41"/>
  <c r="O263" i="41"/>
  <c r="P263" i="41"/>
  <c r="Q263" i="41"/>
  <c r="R263" i="41"/>
  <c r="S263" i="41"/>
  <c r="T263" i="41"/>
  <c r="U263" i="41"/>
  <c r="V263" i="41"/>
  <c r="W263" i="41"/>
  <c r="X263" i="41"/>
  <c r="Y263" i="41"/>
  <c r="Z263" i="41"/>
  <c r="I265" i="41"/>
  <c r="F267" i="41"/>
  <c r="G267" i="41"/>
  <c r="H267" i="41"/>
  <c r="I267" i="41"/>
  <c r="J267" i="41"/>
  <c r="K267" i="41"/>
  <c r="L267" i="41"/>
  <c r="M267" i="41"/>
  <c r="N267" i="41"/>
  <c r="O267" i="41"/>
  <c r="P267" i="41"/>
  <c r="Q267" i="41"/>
  <c r="R267" i="41"/>
  <c r="S267" i="41"/>
  <c r="T267" i="41"/>
  <c r="U267" i="41"/>
  <c r="V267" i="41"/>
  <c r="W267" i="41"/>
  <c r="X267" i="41"/>
  <c r="Y267" i="41"/>
  <c r="Z267" i="41"/>
  <c r="L270" i="41"/>
  <c r="L271" i="41"/>
  <c r="L272" i="41"/>
  <c r="L273" i="41"/>
  <c r="F275" i="41"/>
  <c r="G275" i="41"/>
  <c r="H275" i="41"/>
  <c r="I275" i="41"/>
  <c r="J275" i="41"/>
  <c r="K275" i="41"/>
  <c r="L275" i="41"/>
  <c r="F277" i="41"/>
  <c r="G277" i="41"/>
  <c r="H277" i="41"/>
  <c r="I277" i="41"/>
  <c r="J277" i="41"/>
  <c r="K277" i="41"/>
  <c r="L277" i="41"/>
  <c r="F279" i="41"/>
  <c r="G279" i="41"/>
  <c r="H279" i="41"/>
  <c r="I279" i="41"/>
  <c r="J279" i="41"/>
  <c r="K279" i="41"/>
  <c r="L279" i="41"/>
  <c r="M279" i="41"/>
  <c r="N279" i="41"/>
  <c r="O279" i="41"/>
  <c r="P279" i="41"/>
  <c r="Q279" i="41"/>
  <c r="R279" i="41"/>
  <c r="S279" i="41"/>
  <c r="T279" i="41"/>
  <c r="U279" i="41"/>
  <c r="V279" i="41"/>
  <c r="W279" i="41"/>
  <c r="X279" i="41"/>
  <c r="Y279" i="41"/>
  <c r="Z279" i="41"/>
  <c r="F280" i="41"/>
  <c r="G280" i="41"/>
  <c r="H280" i="41"/>
  <c r="I280" i="41"/>
  <c r="J280" i="41"/>
  <c r="K280" i="41"/>
  <c r="L280" i="41"/>
  <c r="M280" i="41"/>
  <c r="N280" i="41"/>
  <c r="O280" i="41"/>
  <c r="P280" i="41"/>
  <c r="Q280" i="41"/>
  <c r="R280" i="41"/>
  <c r="S280" i="41"/>
  <c r="T280" i="41"/>
  <c r="U280" i="41"/>
  <c r="V280" i="41"/>
  <c r="W280" i="41"/>
  <c r="X280" i="41"/>
  <c r="Y280" i="41"/>
  <c r="Z280" i="41"/>
  <c r="D288" i="41"/>
  <c r="F288" i="41"/>
  <c r="G288" i="41"/>
  <c r="H288" i="41"/>
  <c r="D289" i="41"/>
  <c r="G289" i="41"/>
  <c r="H289" i="41"/>
  <c r="D291" i="41"/>
  <c r="F291" i="41"/>
  <c r="G291" i="41"/>
  <c r="H291" i="41"/>
  <c r="I291" i="41"/>
  <c r="J291" i="41"/>
  <c r="D292" i="41"/>
  <c r="F292" i="41"/>
  <c r="G292" i="41"/>
  <c r="H292" i="41"/>
  <c r="I292" i="41"/>
  <c r="J292" i="41"/>
  <c r="D295" i="41"/>
  <c r="F295" i="41"/>
  <c r="G295" i="41"/>
  <c r="H295" i="41"/>
  <c r="I295" i="41"/>
  <c r="J295" i="41"/>
  <c r="K295" i="41"/>
  <c r="L295" i="41"/>
  <c r="M295" i="41"/>
  <c r="N295" i="41"/>
  <c r="O295" i="41"/>
  <c r="P295" i="41"/>
  <c r="Q295" i="41"/>
  <c r="R295" i="41"/>
  <c r="S295" i="41"/>
  <c r="T295" i="41"/>
  <c r="U295" i="41"/>
  <c r="V295" i="41"/>
  <c r="W295" i="41"/>
  <c r="X295" i="41"/>
  <c r="Y295" i="41"/>
  <c r="Z295" i="41"/>
  <c r="D296" i="41"/>
  <c r="F296" i="41"/>
  <c r="G296" i="41"/>
  <c r="H296" i="41"/>
  <c r="I296" i="41"/>
  <c r="J296" i="41"/>
  <c r="K296" i="41"/>
  <c r="L296" i="41"/>
  <c r="M296" i="41"/>
  <c r="N296" i="41"/>
  <c r="O296" i="41"/>
  <c r="P296" i="41"/>
  <c r="Q296" i="41"/>
  <c r="R296" i="41"/>
  <c r="S296" i="41"/>
  <c r="T296" i="41"/>
  <c r="U296" i="41"/>
  <c r="V296" i="41"/>
  <c r="W296" i="41"/>
  <c r="X296" i="41"/>
  <c r="Y296" i="41"/>
  <c r="Z296" i="41"/>
  <c r="D297" i="41"/>
  <c r="F297" i="41"/>
  <c r="G297" i="41"/>
  <c r="H297" i="41"/>
  <c r="I297" i="41"/>
  <c r="J297" i="41"/>
  <c r="K297" i="41"/>
  <c r="L297" i="41"/>
  <c r="M297" i="41"/>
  <c r="N297" i="41"/>
  <c r="O297" i="41"/>
  <c r="P297" i="41"/>
  <c r="Q297" i="41"/>
  <c r="R297" i="41"/>
  <c r="S297" i="41"/>
  <c r="T297" i="41"/>
  <c r="U297" i="41"/>
  <c r="V297" i="41"/>
  <c r="W297" i="41"/>
  <c r="X297" i="41"/>
  <c r="Y297" i="41"/>
  <c r="Z297" i="41"/>
  <c r="D298" i="41"/>
  <c r="F298" i="41"/>
  <c r="G298" i="41"/>
  <c r="H298" i="41"/>
  <c r="I298" i="41"/>
  <c r="J298" i="41"/>
  <c r="K298" i="41"/>
  <c r="L298" i="41"/>
  <c r="M298" i="41"/>
  <c r="N298" i="41"/>
  <c r="O298" i="41"/>
  <c r="P298" i="41"/>
  <c r="Q298" i="41"/>
  <c r="R298" i="41"/>
  <c r="S298" i="41"/>
  <c r="T298" i="41"/>
  <c r="U298" i="41"/>
  <c r="V298" i="41"/>
  <c r="W298" i="41"/>
  <c r="X298" i="41"/>
  <c r="Y298" i="41"/>
  <c r="Z298" i="41"/>
  <c r="D299" i="41"/>
  <c r="F299" i="41"/>
  <c r="G299" i="41"/>
  <c r="H299" i="41"/>
  <c r="I299" i="41"/>
  <c r="J299" i="41"/>
  <c r="K299" i="41"/>
  <c r="L299" i="41"/>
  <c r="M299" i="41"/>
  <c r="N299" i="41"/>
  <c r="O299" i="41"/>
  <c r="P299" i="41"/>
  <c r="Q299" i="41"/>
  <c r="R299" i="41"/>
  <c r="S299" i="41"/>
  <c r="T299" i="41"/>
  <c r="U299" i="41"/>
  <c r="V299" i="41"/>
  <c r="W299" i="41"/>
  <c r="X299" i="41"/>
  <c r="Y299" i="41"/>
  <c r="Z299" i="41"/>
  <c r="D300" i="41"/>
  <c r="F300" i="41"/>
  <c r="G300" i="41"/>
  <c r="H300" i="41"/>
  <c r="I300" i="41"/>
  <c r="J300" i="41"/>
  <c r="K300" i="41"/>
  <c r="L300" i="41"/>
  <c r="M300" i="41"/>
  <c r="N300" i="41"/>
  <c r="O300" i="41"/>
  <c r="P300" i="41"/>
  <c r="Q300" i="41"/>
  <c r="R300" i="41"/>
  <c r="S300" i="41"/>
  <c r="T300" i="41"/>
  <c r="U300" i="41"/>
  <c r="V300" i="41"/>
  <c r="W300" i="41"/>
  <c r="X300" i="41"/>
  <c r="Y300" i="41"/>
  <c r="Z300" i="41"/>
  <c r="D301" i="41"/>
  <c r="F301" i="41"/>
  <c r="G301" i="41"/>
  <c r="H301" i="41"/>
  <c r="I301" i="41"/>
  <c r="J301" i="41"/>
  <c r="K301" i="41"/>
  <c r="L301" i="41"/>
  <c r="M301" i="41"/>
  <c r="N301" i="41"/>
  <c r="O301" i="41"/>
  <c r="P301" i="41"/>
  <c r="Q301" i="41"/>
  <c r="R301" i="41"/>
  <c r="S301" i="41"/>
  <c r="T301" i="41"/>
  <c r="U301" i="41"/>
  <c r="V301" i="41"/>
  <c r="W301" i="41"/>
  <c r="X301" i="41"/>
  <c r="Y301" i="41"/>
  <c r="Z301" i="41"/>
  <c r="D302" i="41"/>
  <c r="F302" i="41"/>
  <c r="G302" i="41"/>
  <c r="H302" i="41"/>
  <c r="I302" i="41"/>
  <c r="J302" i="41"/>
  <c r="K302" i="41"/>
  <c r="L302" i="41"/>
  <c r="M302" i="41"/>
  <c r="N302" i="41"/>
  <c r="O302" i="41"/>
  <c r="P302" i="41"/>
  <c r="Q302" i="41"/>
  <c r="R302" i="41"/>
  <c r="S302" i="41"/>
  <c r="T302" i="41"/>
  <c r="U302" i="41"/>
  <c r="V302" i="41"/>
  <c r="W302" i="41"/>
  <c r="X302" i="41"/>
  <c r="Y302" i="41"/>
  <c r="Z302" i="41"/>
  <c r="D304" i="41"/>
  <c r="F304" i="41"/>
  <c r="G304" i="41"/>
  <c r="H304" i="41"/>
  <c r="I304" i="41"/>
  <c r="J304" i="41"/>
  <c r="K304" i="41"/>
  <c r="L304" i="41"/>
  <c r="M304" i="41"/>
  <c r="N304" i="41"/>
  <c r="O304" i="41"/>
  <c r="P304" i="41"/>
  <c r="Q304" i="41"/>
  <c r="R304" i="41"/>
  <c r="S304" i="41"/>
  <c r="T304" i="41"/>
  <c r="U304" i="41"/>
  <c r="V304" i="41"/>
  <c r="W304" i="41"/>
  <c r="X304" i="41"/>
  <c r="Y304" i="41"/>
  <c r="Z304" i="41"/>
  <c r="D307" i="41"/>
  <c r="F307" i="41"/>
  <c r="G307" i="41"/>
  <c r="H307" i="41"/>
  <c r="I307" i="41"/>
  <c r="J307" i="41"/>
  <c r="K307" i="41"/>
  <c r="L307" i="41"/>
  <c r="M307" i="41"/>
  <c r="N307" i="41"/>
  <c r="O307" i="41"/>
  <c r="P307" i="41"/>
  <c r="Q307" i="41"/>
  <c r="R307" i="41"/>
  <c r="S307" i="41"/>
  <c r="T307" i="41"/>
  <c r="U307" i="41"/>
  <c r="V307" i="41"/>
  <c r="W307" i="41"/>
  <c r="X307" i="41"/>
  <c r="Y307" i="41"/>
  <c r="Z307" i="41"/>
  <c r="D308" i="41"/>
  <c r="F308" i="41"/>
  <c r="G308" i="41"/>
  <c r="H308" i="41"/>
  <c r="I308" i="41"/>
  <c r="J308" i="41"/>
  <c r="K308" i="41"/>
  <c r="L308" i="41"/>
  <c r="D309" i="41"/>
  <c r="F309" i="41"/>
  <c r="G309" i="41"/>
  <c r="H309" i="41"/>
  <c r="I309" i="41"/>
  <c r="J309" i="41"/>
  <c r="K309" i="41"/>
  <c r="L309" i="41"/>
  <c r="M309" i="41"/>
  <c r="N309" i="41"/>
  <c r="O309" i="41"/>
  <c r="P309" i="41"/>
  <c r="Q309" i="41"/>
  <c r="R309" i="41"/>
  <c r="S309" i="41"/>
  <c r="T309" i="41"/>
  <c r="U309" i="41"/>
  <c r="V309" i="41"/>
  <c r="W309" i="41"/>
  <c r="X309" i="41"/>
  <c r="Y309" i="41"/>
  <c r="Z309" i="41"/>
  <c r="D311" i="41"/>
  <c r="D312" i="41"/>
  <c r="D313" i="41"/>
  <c r="F318" i="41"/>
  <c r="G318" i="41"/>
  <c r="H318" i="41"/>
  <c r="I318" i="41"/>
  <c r="J318" i="41"/>
  <c r="K318" i="41"/>
  <c r="L318" i="41"/>
  <c r="M318" i="41"/>
  <c r="N318" i="41"/>
  <c r="O318" i="41"/>
  <c r="P318" i="41"/>
  <c r="Q318" i="41"/>
  <c r="R318" i="41"/>
  <c r="S318" i="41"/>
  <c r="T318" i="41"/>
  <c r="U318" i="41"/>
  <c r="V318" i="41"/>
  <c r="W318" i="41"/>
  <c r="X318" i="41"/>
  <c r="Y318" i="41"/>
  <c r="Z318" i="41"/>
  <c r="F319" i="41"/>
  <c r="G319" i="41"/>
  <c r="H319" i="41"/>
  <c r="I319" i="41"/>
  <c r="J319" i="41"/>
  <c r="K319" i="41"/>
  <c r="L319" i="41"/>
  <c r="M319" i="41"/>
  <c r="N319" i="41"/>
  <c r="O319" i="41"/>
  <c r="P319" i="41"/>
  <c r="Q319" i="41"/>
  <c r="R319" i="41"/>
  <c r="S319" i="41"/>
  <c r="T319" i="41"/>
  <c r="U319" i="41"/>
  <c r="V319" i="41"/>
  <c r="W319" i="41"/>
  <c r="X319" i="41"/>
  <c r="Y319" i="41"/>
  <c r="Z319" i="41"/>
  <c r="F320" i="41"/>
  <c r="G320" i="41"/>
  <c r="H320" i="41"/>
  <c r="I320" i="41"/>
  <c r="J320" i="41"/>
  <c r="K320" i="41"/>
  <c r="L320" i="41"/>
  <c r="M320" i="41"/>
  <c r="N320" i="41"/>
  <c r="O320" i="41"/>
  <c r="P320" i="41"/>
  <c r="Q320" i="41"/>
  <c r="R320" i="41"/>
  <c r="S320" i="41"/>
  <c r="T320" i="41"/>
  <c r="U320" i="41"/>
  <c r="V320" i="41"/>
  <c r="W320" i="41"/>
  <c r="X320" i="41"/>
  <c r="Y320" i="41"/>
  <c r="Z320" i="41"/>
  <c r="F321" i="41"/>
  <c r="G321" i="41"/>
  <c r="H321" i="41"/>
  <c r="I321" i="41"/>
  <c r="J321" i="41"/>
  <c r="K321" i="41"/>
  <c r="L321" i="41"/>
  <c r="M321" i="41"/>
  <c r="N321" i="41"/>
  <c r="O321" i="41"/>
  <c r="P321" i="41"/>
  <c r="Q321" i="41"/>
  <c r="R321" i="41"/>
  <c r="S321" i="41"/>
  <c r="T321" i="41"/>
  <c r="U321" i="41"/>
  <c r="V321" i="41"/>
  <c r="W321" i="41"/>
  <c r="X321" i="41"/>
  <c r="Y321" i="41"/>
  <c r="Z321" i="41"/>
  <c r="L324" i="41"/>
  <c r="L325" i="41"/>
  <c r="L326" i="41"/>
  <c r="D332" i="41"/>
  <c r="F332" i="41"/>
  <c r="G332" i="41"/>
  <c r="H332" i="41"/>
  <c r="D335" i="41"/>
  <c r="F335" i="41"/>
  <c r="G335" i="41"/>
  <c r="H335" i="41"/>
  <c r="I335" i="41"/>
  <c r="J335" i="41"/>
  <c r="D336" i="41"/>
  <c r="F336" i="41"/>
  <c r="G336" i="41"/>
  <c r="H336" i="41"/>
  <c r="I336" i="41"/>
  <c r="J336" i="41"/>
  <c r="D339" i="41"/>
  <c r="F339" i="41"/>
  <c r="G339" i="41"/>
  <c r="H339" i="41"/>
  <c r="I339" i="41"/>
  <c r="J339" i="41"/>
  <c r="K339" i="41"/>
  <c r="L339" i="41"/>
  <c r="M339" i="41"/>
  <c r="N339" i="41"/>
  <c r="O339" i="41"/>
  <c r="P339" i="41"/>
  <c r="Q339" i="41"/>
  <c r="R339" i="41"/>
  <c r="S339" i="41"/>
  <c r="T339" i="41"/>
  <c r="U339" i="41"/>
  <c r="V339" i="41"/>
  <c r="W339" i="41"/>
  <c r="X339" i="41"/>
  <c r="Y339" i="41"/>
  <c r="Z339" i="41"/>
  <c r="D340" i="41"/>
  <c r="F340" i="41"/>
  <c r="G340" i="41"/>
  <c r="H340" i="41"/>
  <c r="I340" i="41"/>
  <c r="J340" i="41"/>
  <c r="K340" i="41"/>
  <c r="L340" i="41"/>
  <c r="M340" i="41"/>
  <c r="N340" i="41"/>
  <c r="O340" i="41"/>
  <c r="P340" i="41"/>
  <c r="Q340" i="41"/>
  <c r="R340" i="41"/>
  <c r="S340" i="41"/>
  <c r="T340" i="41"/>
  <c r="U340" i="41"/>
  <c r="V340" i="41"/>
  <c r="W340" i="41"/>
  <c r="X340" i="41"/>
  <c r="Y340" i="41"/>
  <c r="Z340" i="41"/>
  <c r="D341" i="41"/>
  <c r="F341" i="41"/>
  <c r="G341" i="41"/>
  <c r="H341" i="41"/>
  <c r="I341" i="41"/>
  <c r="J341" i="41"/>
  <c r="K341" i="41"/>
  <c r="L341" i="41"/>
  <c r="M341" i="41"/>
  <c r="N341" i="41"/>
  <c r="O341" i="41"/>
  <c r="P341" i="41"/>
  <c r="Q341" i="41"/>
  <c r="R341" i="41"/>
  <c r="S341" i="41"/>
  <c r="T341" i="41"/>
  <c r="U341" i="41"/>
  <c r="V341" i="41"/>
  <c r="W341" i="41"/>
  <c r="X341" i="41"/>
  <c r="Y341" i="41"/>
  <c r="Z341" i="41"/>
  <c r="D342" i="41"/>
  <c r="F342" i="41"/>
  <c r="G342" i="41"/>
  <c r="H342" i="41"/>
  <c r="I342" i="41"/>
  <c r="J342" i="41"/>
  <c r="K342" i="41"/>
  <c r="L342" i="41"/>
  <c r="M342" i="41"/>
  <c r="N342" i="41"/>
  <c r="O342" i="41"/>
  <c r="P342" i="41"/>
  <c r="Q342" i="41"/>
  <c r="R342" i="41"/>
  <c r="S342" i="41"/>
  <c r="T342" i="41"/>
  <c r="U342" i="41"/>
  <c r="V342" i="41"/>
  <c r="W342" i="41"/>
  <c r="X342" i="41"/>
  <c r="Y342" i="41"/>
  <c r="Z342" i="41"/>
  <c r="D343" i="41"/>
  <c r="F343" i="41"/>
  <c r="G343" i="41"/>
  <c r="H343" i="41"/>
  <c r="I343" i="41"/>
  <c r="J343" i="41"/>
  <c r="K343" i="41"/>
  <c r="L343" i="41"/>
  <c r="M343" i="41"/>
  <c r="N343" i="41"/>
  <c r="O343" i="41"/>
  <c r="P343" i="41"/>
  <c r="Q343" i="41"/>
  <c r="R343" i="41"/>
  <c r="S343" i="41"/>
  <c r="T343" i="41"/>
  <c r="U343" i="41"/>
  <c r="V343" i="41"/>
  <c r="W343" i="41"/>
  <c r="X343" i="41"/>
  <c r="Y343" i="41"/>
  <c r="Z343" i="41"/>
  <c r="D345" i="41"/>
  <c r="F345" i="41"/>
  <c r="G345" i="41"/>
  <c r="H345" i="41"/>
  <c r="I345" i="41"/>
  <c r="J345" i="41"/>
  <c r="K345" i="41"/>
  <c r="L345" i="41"/>
  <c r="M345" i="41"/>
  <c r="N345" i="41"/>
  <c r="O345" i="41"/>
  <c r="P345" i="41"/>
  <c r="Q345" i="41"/>
  <c r="R345" i="41"/>
  <c r="S345" i="41"/>
  <c r="T345" i="41"/>
  <c r="U345" i="41"/>
  <c r="V345" i="41"/>
  <c r="W345" i="41"/>
  <c r="X345" i="41"/>
  <c r="Y345" i="41"/>
  <c r="Z345" i="41"/>
  <c r="D346" i="41"/>
  <c r="F346" i="41"/>
  <c r="G346" i="41"/>
  <c r="H346" i="41"/>
  <c r="I346" i="41"/>
  <c r="J346" i="41"/>
  <c r="K346" i="41"/>
  <c r="L346" i="41"/>
  <c r="M346" i="41"/>
  <c r="N346" i="41"/>
  <c r="O346" i="41"/>
  <c r="P346" i="41"/>
  <c r="Q346" i="41"/>
  <c r="R346" i="41"/>
  <c r="S346" i="41"/>
  <c r="T346" i="41"/>
  <c r="U346" i="41"/>
  <c r="V346" i="41"/>
  <c r="W346" i="41"/>
  <c r="X346" i="41"/>
  <c r="Y346" i="41"/>
  <c r="Z346" i="41"/>
  <c r="D349" i="41"/>
  <c r="F349" i="41"/>
  <c r="G349" i="41"/>
  <c r="H349" i="41"/>
  <c r="I349" i="41"/>
  <c r="J349" i="41"/>
  <c r="K349" i="41"/>
  <c r="L349" i="41"/>
  <c r="M349" i="41"/>
  <c r="N349" i="41"/>
  <c r="O349" i="41"/>
  <c r="P349" i="41"/>
  <c r="Q349" i="41"/>
  <c r="R349" i="41"/>
  <c r="S349" i="41"/>
  <c r="T349" i="41"/>
  <c r="U349" i="41"/>
  <c r="V349" i="41"/>
  <c r="W349" i="41"/>
  <c r="X349" i="41"/>
  <c r="Y349" i="41"/>
  <c r="Z349" i="41"/>
  <c r="D350" i="41"/>
  <c r="F350" i="41"/>
  <c r="G350" i="41"/>
  <c r="H350" i="41"/>
  <c r="I350" i="41"/>
  <c r="J350" i="41"/>
  <c r="K350" i="41"/>
  <c r="L350" i="41"/>
  <c r="D351" i="41"/>
  <c r="F351" i="41"/>
  <c r="G351" i="41"/>
  <c r="H351" i="41"/>
  <c r="I351" i="41"/>
  <c r="J351" i="41"/>
  <c r="K351" i="41"/>
  <c r="L351" i="41"/>
  <c r="M351" i="41"/>
  <c r="N351" i="41"/>
  <c r="O351" i="41"/>
  <c r="P351" i="41"/>
  <c r="Q351" i="41"/>
  <c r="R351" i="41"/>
  <c r="S351" i="41"/>
  <c r="T351" i="41"/>
  <c r="U351" i="41"/>
  <c r="V351" i="41"/>
  <c r="W351" i="41"/>
  <c r="X351" i="41"/>
  <c r="Y351" i="41"/>
  <c r="Z351" i="41"/>
  <c r="D353" i="41"/>
  <c r="D354" i="41"/>
  <c r="D355" i="41"/>
  <c r="F360" i="41"/>
  <c r="G360" i="41"/>
  <c r="H360" i="41"/>
  <c r="I360" i="41"/>
  <c r="J360" i="41"/>
  <c r="K360" i="41"/>
  <c r="L360" i="41"/>
  <c r="M360" i="41"/>
  <c r="N360" i="41"/>
  <c r="O360" i="41"/>
  <c r="P360" i="41"/>
  <c r="Q360" i="41"/>
  <c r="R360" i="41"/>
  <c r="S360" i="41"/>
  <c r="T360" i="41"/>
  <c r="U360" i="41"/>
  <c r="V360" i="41"/>
  <c r="W360" i="41"/>
  <c r="X360" i="41"/>
  <c r="Y360" i="41"/>
  <c r="Z360" i="41"/>
  <c r="F363" i="41"/>
  <c r="G363" i="41"/>
  <c r="H363" i="41"/>
  <c r="I363" i="41"/>
  <c r="J363" i="41"/>
  <c r="K363" i="41"/>
  <c r="L363" i="41"/>
  <c r="F364" i="41"/>
  <c r="G364" i="41"/>
  <c r="H364" i="41"/>
  <c r="I364" i="41"/>
  <c r="J364" i="41"/>
  <c r="K364" i="41"/>
  <c r="L364" i="41"/>
  <c r="L365" i="41"/>
  <c r="L366" i="41"/>
  <c r="D367" i="41"/>
  <c r="F367" i="41"/>
  <c r="G367" i="41"/>
  <c r="H367" i="41"/>
  <c r="I367" i="41"/>
  <c r="J367" i="41"/>
  <c r="K367" i="41"/>
  <c r="L367" i="41"/>
  <c r="M367" i="41"/>
  <c r="N367" i="41"/>
  <c r="O367" i="41"/>
  <c r="P367" i="41"/>
  <c r="Q367" i="41"/>
  <c r="R367" i="41"/>
  <c r="S367" i="41"/>
  <c r="T367" i="41"/>
  <c r="U367" i="41"/>
  <c r="V367" i="41"/>
  <c r="W367" i="41"/>
  <c r="X367" i="41"/>
  <c r="Y367" i="41"/>
  <c r="Z367" i="41"/>
  <c r="D369" i="41"/>
  <c r="F372" i="41"/>
  <c r="G372" i="41"/>
  <c r="H372" i="41"/>
  <c r="I372" i="41"/>
  <c r="J372" i="41"/>
  <c r="K372" i="41"/>
  <c r="L372" i="41"/>
  <c r="M372" i="41"/>
  <c r="N372" i="41"/>
  <c r="O372" i="41"/>
  <c r="P372" i="41"/>
  <c r="Q372" i="41"/>
  <c r="R372" i="41"/>
  <c r="S372" i="41"/>
  <c r="T372" i="41"/>
  <c r="U372" i="41"/>
  <c r="V372" i="41"/>
  <c r="W372" i="41"/>
  <c r="X372" i="41"/>
  <c r="Y372" i="41"/>
  <c r="Z372" i="41"/>
  <c r="F373" i="41"/>
  <c r="G373" i="41"/>
  <c r="H373" i="41"/>
  <c r="I373" i="41"/>
  <c r="J373" i="41"/>
  <c r="K373" i="41"/>
  <c r="L373" i="41"/>
  <c r="M373" i="41"/>
  <c r="N373" i="41"/>
  <c r="O373" i="41"/>
  <c r="P373" i="41"/>
  <c r="Q373" i="41"/>
  <c r="R373" i="41"/>
  <c r="S373" i="41"/>
  <c r="T373" i="41"/>
  <c r="U373" i="41"/>
  <c r="V373" i="41"/>
  <c r="W373" i="41"/>
  <c r="X373" i="41"/>
  <c r="Y373" i="41"/>
  <c r="Z373" i="41"/>
  <c r="H374" i="41"/>
  <c r="H375" i="41"/>
  <c r="F376" i="41"/>
  <c r="G376" i="41"/>
  <c r="H376" i="41"/>
  <c r="I376" i="41"/>
  <c r="J376" i="41"/>
  <c r="K376" i="41"/>
  <c r="L376" i="41"/>
  <c r="F377" i="41"/>
  <c r="G377" i="41"/>
  <c r="H377" i="41"/>
  <c r="I377" i="41"/>
  <c r="J377" i="41"/>
  <c r="K377" i="41"/>
  <c r="L377" i="41"/>
  <c r="L378" i="41"/>
  <c r="L379" i="41"/>
  <c r="D380" i="41"/>
  <c r="F380" i="41"/>
  <c r="G380" i="41"/>
  <c r="H380" i="41"/>
  <c r="I380" i="41"/>
  <c r="J380" i="41"/>
  <c r="K380" i="41"/>
  <c r="L380" i="41"/>
  <c r="M380" i="41"/>
  <c r="N380" i="41"/>
  <c r="O380" i="41"/>
  <c r="P380" i="41"/>
  <c r="Q380" i="41"/>
  <c r="R380" i="41"/>
  <c r="S380" i="41"/>
  <c r="T380" i="41"/>
  <c r="U380" i="41"/>
  <c r="V380" i="41"/>
  <c r="W380" i="41"/>
  <c r="X380" i="41"/>
  <c r="Y380" i="41"/>
  <c r="Z380" i="41"/>
  <c r="D382" i="41"/>
  <c r="D383" i="41"/>
  <c r="K385" i="41"/>
  <c r="L385" i="41"/>
  <c r="D388" i="41"/>
  <c r="G388" i="41"/>
  <c r="H388" i="41"/>
  <c r="I388" i="41"/>
  <c r="J388" i="41"/>
  <c r="K388" i="41"/>
  <c r="L388" i="41"/>
  <c r="M388" i="41"/>
  <c r="N388" i="41"/>
  <c r="O388" i="41"/>
  <c r="P388" i="41"/>
  <c r="Q388" i="41"/>
  <c r="R388" i="41"/>
  <c r="S388" i="41"/>
  <c r="T388" i="41"/>
  <c r="U388" i="41"/>
  <c r="V388" i="41"/>
  <c r="W388" i="41"/>
  <c r="X388" i="41"/>
  <c r="Y388" i="41"/>
  <c r="Z388" i="41"/>
  <c r="D389" i="41"/>
  <c r="F389" i="41"/>
  <c r="G389" i="41"/>
  <c r="H389" i="41"/>
  <c r="I389" i="41"/>
  <c r="J389" i="41"/>
  <c r="K389" i="41"/>
  <c r="L389" i="41"/>
  <c r="M389" i="41"/>
  <c r="N389" i="41"/>
  <c r="O389" i="41"/>
  <c r="P389" i="41"/>
  <c r="Q389" i="41"/>
  <c r="R389" i="41"/>
  <c r="S389" i="41"/>
  <c r="T389" i="41"/>
  <c r="U389" i="41"/>
  <c r="V389" i="41"/>
  <c r="W389" i="41"/>
  <c r="X389" i="41"/>
  <c r="Y389" i="41"/>
  <c r="Z389" i="41"/>
  <c r="D390" i="41"/>
  <c r="F390" i="41"/>
  <c r="G390" i="41"/>
  <c r="H390" i="41"/>
  <c r="I390" i="41"/>
  <c r="J390" i="41"/>
  <c r="K390" i="41"/>
  <c r="L390" i="41"/>
  <c r="D391" i="41"/>
  <c r="J391" i="41"/>
  <c r="K391" i="41"/>
  <c r="L391" i="41"/>
  <c r="D392" i="41"/>
  <c r="F392" i="41"/>
  <c r="G392" i="41"/>
  <c r="H392" i="41"/>
  <c r="I392" i="41"/>
  <c r="J392" i="41"/>
  <c r="K392" i="41"/>
  <c r="L392" i="41"/>
  <c r="D393" i="41"/>
  <c r="L393" i="41"/>
  <c r="D394" i="41"/>
  <c r="L394" i="41"/>
  <c r="D395" i="41"/>
  <c r="F395" i="41"/>
  <c r="G395" i="41"/>
  <c r="H395" i="41"/>
  <c r="I395" i="41"/>
  <c r="J395" i="41"/>
  <c r="K395" i="41"/>
  <c r="L395" i="41"/>
  <c r="M395" i="41"/>
  <c r="N395" i="41"/>
  <c r="O395" i="41"/>
  <c r="P395" i="41"/>
  <c r="Q395" i="41"/>
  <c r="R395" i="41"/>
  <c r="S395" i="41"/>
  <c r="T395" i="41"/>
  <c r="U395" i="41"/>
  <c r="V395" i="41"/>
  <c r="W395" i="41"/>
  <c r="X395" i="41"/>
  <c r="Y395" i="41"/>
  <c r="Z395" i="41"/>
  <c r="F400" i="41"/>
  <c r="G400" i="41"/>
  <c r="H400" i="41"/>
  <c r="I400" i="41"/>
  <c r="J400" i="41"/>
  <c r="K400" i="41"/>
  <c r="L400" i="41"/>
  <c r="M400" i="41"/>
  <c r="N400" i="41"/>
  <c r="O400" i="41"/>
  <c r="P400" i="41"/>
  <c r="Q400" i="41"/>
  <c r="R400" i="41"/>
  <c r="S400" i="41"/>
  <c r="T400" i="41"/>
  <c r="U400" i="41"/>
  <c r="V400" i="41"/>
  <c r="W400" i="41"/>
  <c r="X400" i="41"/>
  <c r="Y400" i="41"/>
  <c r="Z400" i="41"/>
  <c r="F403" i="41"/>
  <c r="G403" i="41"/>
  <c r="H403" i="41"/>
  <c r="I403" i="41"/>
  <c r="J403" i="41"/>
  <c r="K403" i="41"/>
  <c r="L403" i="41"/>
  <c r="F404" i="41"/>
  <c r="G404" i="41"/>
  <c r="H404" i="41"/>
  <c r="I404" i="41"/>
  <c r="J404" i="41"/>
  <c r="K404" i="41"/>
  <c r="L404" i="41"/>
  <c r="I405" i="41"/>
  <c r="L405" i="41"/>
  <c r="L406" i="41"/>
  <c r="D407" i="41"/>
  <c r="F407" i="41"/>
  <c r="G407" i="41"/>
  <c r="H407" i="41"/>
  <c r="I407" i="41"/>
  <c r="J407" i="41"/>
  <c r="K407" i="41"/>
  <c r="L407" i="41"/>
  <c r="M407" i="41"/>
  <c r="N407" i="41"/>
  <c r="O407" i="41"/>
  <c r="P407" i="41"/>
  <c r="Q407" i="41"/>
  <c r="R407" i="41"/>
  <c r="S407" i="41"/>
  <c r="T407" i="41"/>
  <c r="U407" i="41"/>
  <c r="V407" i="41"/>
  <c r="W407" i="41"/>
  <c r="X407" i="41"/>
  <c r="Y407" i="41"/>
  <c r="Z407" i="41"/>
  <c r="D409" i="41"/>
  <c r="F412" i="41"/>
  <c r="G412" i="41"/>
  <c r="H412" i="41"/>
  <c r="I412" i="41"/>
  <c r="J412" i="41"/>
  <c r="K412" i="41"/>
  <c r="L412" i="41"/>
  <c r="M412" i="41"/>
  <c r="N412" i="41"/>
  <c r="O412" i="41"/>
  <c r="P412" i="41"/>
  <c r="Q412" i="41"/>
  <c r="R412" i="41"/>
  <c r="S412" i="41"/>
  <c r="T412" i="41"/>
  <c r="U412" i="41"/>
  <c r="V412" i="41"/>
  <c r="W412" i="41"/>
  <c r="X412" i="41"/>
  <c r="Y412" i="41"/>
  <c r="Z412" i="41"/>
  <c r="F413" i="41"/>
  <c r="G413" i="41"/>
  <c r="H413" i="41"/>
  <c r="I413" i="41"/>
  <c r="J413" i="41"/>
  <c r="K413" i="41"/>
  <c r="L413" i="41"/>
  <c r="M413" i="41"/>
  <c r="N413" i="41"/>
  <c r="O413" i="41"/>
  <c r="P413" i="41"/>
  <c r="Q413" i="41"/>
  <c r="R413" i="41"/>
  <c r="S413" i="41"/>
  <c r="T413" i="41"/>
  <c r="U413" i="41"/>
  <c r="V413" i="41"/>
  <c r="W413" i="41"/>
  <c r="X413" i="41"/>
  <c r="Y413" i="41"/>
  <c r="Z413" i="41"/>
  <c r="H414" i="41"/>
  <c r="H415" i="41"/>
  <c r="F416" i="41"/>
  <c r="G416" i="41"/>
  <c r="H416" i="41"/>
  <c r="I416" i="41"/>
  <c r="J416" i="41"/>
  <c r="K416" i="41"/>
  <c r="L416" i="41"/>
  <c r="F417" i="41"/>
  <c r="G417" i="41"/>
  <c r="H417" i="41"/>
  <c r="I417" i="41"/>
  <c r="J417" i="41"/>
  <c r="K417" i="41"/>
  <c r="L417" i="41"/>
  <c r="I418" i="41"/>
  <c r="L418" i="41"/>
  <c r="L419" i="41"/>
  <c r="D420" i="41"/>
  <c r="F420" i="41"/>
  <c r="G420" i="41"/>
  <c r="H420" i="41"/>
  <c r="I420" i="41"/>
  <c r="J420" i="41"/>
  <c r="K420" i="41"/>
  <c r="L420" i="41"/>
  <c r="M420" i="41"/>
  <c r="N420" i="41"/>
  <c r="O420" i="41"/>
  <c r="P420" i="41"/>
  <c r="Q420" i="41"/>
  <c r="R420" i="41"/>
  <c r="S420" i="41"/>
  <c r="T420" i="41"/>
  <c r="U420" i="41"/>
  <c r="V420" i="41"/>
  <c r="W420" i="41"/>
  <c r="X420" i="41"/>
  <c r="Y420" i="41"/>
  <c r="Z420" i="41"/>
  <c r="D422" i="41"/>
  <c r="D423" i="41"/>
  <c r="K425" i="41"/>
  <c r="L425" i="41"/>
  <c r="D428" i="41"/>
  <c r="G428" i="41"/>
  <c r="H428" i="41"/>
  <c r="I428" i="41"/>
  <c r="J428" i="41"/>
  <c r="K428" i="41"/>
  <c r="L428" i="41"/>
  <c r="M428" i="41"/>
  <c r="N428" i="41"/>
  <c r="O428" i="41"/>
  <c r="P428" i="41"/>
  <c r="Q428" i="41"/>
  <c r="R428" i="41"/>
  <c r="S428" i="41"/>
  <c r="T428" i="41"/>
  <c r="U428" i="41"/>
  <c r="V428" i="41"/>
  <c r="W428" i="41"/>
  <c r="X428" i="41"/>
  <c r="Y428" i="41"/>
  <c r="Z428" i="41"/>
  <c r="D429" i="41"/>
  <c r="F429" i="41"/>
  <c r="G429" i="41"/>
  <c r="H429" i="41"/>
  <c r="I429" i="41"/>
  <c r="J429" i="41"/>
  <c r="K429" i="41"/>
  <c r="L429" i="41"/>
  <c r="M429" i="41"/>
  <c r="N429" i="41"/>
  <c r="O429" i="41"/>
  <c r="P429" i="41"/>
  <c r="Q429" i="41"/>
  <c r="R429" i="41"/>
  <c r="S429" i="41"/>
  <c r="T429" i="41"/>
  <c r="U429" i="41"/>
  <c r="V429" i="41"/>
  <c r="W429" i="41"/>
  <c r="X429" i="41"/>
  <c r="Y429" i="41"/>
  <c r="Z429" i="41"/>
  <c r="D430" i="41"/>
  <c r="F430" i="41"/>
  <c r="G430" i="41"/>
  <c r="H430" i="41"/>
  <c r="I430" i="41"/>
  <c r="J430" i="41"/>
  <c r="K430" i="41"/>
  <c r="L430" i="41"/>
  <c r="D431" i="41"/>
  <c r="J431" i="41"/>
  <c r="K431" i="41"/>
  <c r="L431" i="41"/>
  <c r="D432" i="41"/>
  <c r="F432" i="41"/>
  <c r="G432" i="41"/>
  <c r="H432" i="41"/>
  <c r="I432" i="41"/>
  <c r="J432" i="41"/>
  <c r="K432" i="41"/>
  <c r="L432" i="41"/>
  <c r="D433" i="41"/>
  <c r="I433" i="41"/>
  <c r="L433" i="41"/>
  <c r="D434" i="41"/>
  <c r="L434" i="41"/>
  <c r="D435" i="41"/>
  <c r="F435" i="41"/>
  <c r="G435" i="41"/>
  <c r="H435" i="41"/>
  <c r="I435" i="41"/>
  <c r="J435" i="41"/>
  <c r="K435" i="41"/>
  <c r="L435" i="41"/>
  <c r="M435" i="41"/>
  <c r="N435" i="41"/>
  <c r="O435" i="41"/>
  <c r="P435" i="41"/>
  <c r="Q435" i="41"/>
  <c r="R435" i="41"/>
  <c r="S435" i="41"/>
  <c r="T435" i="41"/>
  <c r="U435" i="41"/>
  <c r="V435" i="41"/>
  <c r="W435" i="41"/>
  <c r="X435" i="41"/>
  <c r="Y435" i="41"/>
  <c r="Z435" i="41"/>
  <c r="F9" i="47"/>
  <c r="G9" i="47"/>
  <c r="H9" i="47"/>
  <c r="I9" i="47"/>
  <c r="J9" i="47"/>
  <c r="K9" i="47"/>
  <c r="L9" i="47"/>
  <c r="M9" i="47"/>
  <c r="N9" i="47"/>
  <c r="O9" i="47"/>
  <c r="P9" i="47"/>
  <c r="Q9" i="47"/>
  <c r="R9" i="47"/>
  <c r="S9" i="47"/>
  <c r="T9" i="47"/>
  <c r="U9" i="47"/>
  <c r="V9" i="47"/>
  <c r="W9" i="47"/>
  <c r="X9" i="47"/>
  <c r="Y9" i="47"/>
  <c r="Z9" i="47"/>
  <c r="AA9" i="47"/>
  <c r="G10" i="47"/>
  <c r="H10" i="47"/>
  <c r="I10" i="47"/>
  <c r="J10" i="47"/>
  <c r="K10" i="47"/>
  <c r="L10" i="47"/>
  <c r="M10" i="47"/>
  <c r="N10" i="47"/>
  <c r="O10" i="47"/>
  <c r="P10" i="47"/>
  <c r="Q10" i="47"/>
  <c r="R10" i="47"/>
  <c r="S10" i="47"/>
  <c r="T10" i="47"/>
  <c r="U10" i="47"/>
  <c r="V10" i="47"/>
  <c r="W10" i="47"/>
  <c r="X10" i="47"/>
  <c r="Y10" i="47"/>
  <c r="Z10" i="47"/>
  <c r="AA10" i="47"/>
  <c r="F11" i="47"/>
  <c r="G22" i="47"/>
  <c r="H22" i="47"/>
  <c r="I22" i="47"/>
  <c r="J22" i="47"/>
  <c r="K22" i="47"/>
  <c r="L22" i="47"/>
  <c r="M22" i="47"/>
  <c r="N22" i="47"/>
  <c r="O22" i="47"/>
  <c r="P22" i="47"/>
  <c r="Q22" i="47"/>
  <c r="R22" i="47"/>
  <c r="S22" i="47"/>
  <c r="T22" i="47"/>
  <c r="U22" i="47"/>
  <c r="V22" i="47"/>
  <c r="W22" i="47"/>
  <c r="X22" i="47"/>
  <c r="Y22" i="47"/>
  <c r="Z22" i="47"/>
  <c r="AA22" i="47"/>
  <c r="G23" i="47"/>
  <c r="H23" i="47"/>
  <c r="I23" i="47"/>
  <c r="J23" i="47"/>
  <c r="K23" i="47"/>
  <c r="L23" i="47"/>
  <c r="M23" i="47"/>
  <c r="N23" i="47"/>
  <c r="O23" i="47"/>
  <c r="P23" i="47"/>
  <c r="Q23" i="47"/>
  <c r="R23" i="47"/>
  <c r="S23" i="47"/>
  <c r="T23" i="47"/>
  <c r="U23" i="47"/>
  <c r="V23" i="47"/>
  <c r="W23" i="47"/>
  <c r="X23" i="47"/>
  <c r="Y23" i="47"/>
  <c r="Z23" i="47"/>
  <c r="AA23" i="47"/>
  <c r="F3" i="32"/>
  <c r="G3" i="32"/>
  <c r="H3" i="32"/>
  <c r="I3" i="32"/>
  <c r="J3" i="32"/>
  <c r="F4" i="32"/>
  <c r="G4" i="32"/>
  <c r="H4" i="32"/>
  <c r="I4" i="32"/>
  <c r="J4" i="32"/>
  <c r="F10" i="32"/>
  <c r="G10" i="32"/>
  <c r="H10" i="32"/>
  <c r="I10" i="32"/>
  <c r="J10" i="32"/>
  <c r="F13" i="32"/>
  <c r="G13" i="32"/>
  <c r="H13" i="32"/>
  <c r="I13" i="32"/>
  <c r="J13" i="32"/>
  <c r="F14" i="32"/>
  <c r="G14" i="32"/>
  <c r="H14" i="32"/>
  <c r="I14" i="32"/>
  <c r="J14" i="32"/>
  <c r="F17" i="32"/>
  <c r="G17" i="32"/>
  <c r="H17" i="32"/>
  <c r="I17" i="32"/>
  <c r="J17" i="32"/>
  <c r="P17" i="32"/>
  <c r="Q17" i="32"/>
  <c r="R17" i="32"/>
  <c r="S17" i="32"/>
  <c r="T17" i="32"/>
  <c r="F18" i="32"/>
  <c r="G18" i="32"/>
  <c r="H18" i="32"/>
  <c r="I18" i="32"/>
  <c r="J18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F23" i="32"/>
  <c r="G23" i="32"/>
  <c r="H23" i="32"/>
  <c r="I23" i="32"/>
  <c r="J23" i="32"/>
  <c r="P25" i="32"/>
  <c r="Q25" i="32"/>
  <c r="R25" i="32"/>
  <c r="S25" i="32"/>
  <c r="T25" i="32"/>
  <c r="F26" i="32"/>
  <c r="G26" i="32"/>
  <c r="H26" i="32"/>
  <c r="I26" i="32"/>
  <c r="J26" i="32"/>
  <c r="P26" i="32"/>
  <c r="Q26" i="32"/>
  <c r="R26" i="32"/>
  <c r="S26" i="32"/>
  <c r="T26" i="32"/>
  <c r="F32" i="32"/>
  <c r="G32" i="32"/>
  <c r="H32" i="32"/>
  <c r="I32" i="32"/>
  <c r="J32" i="32"/>
  <c r="P32" i="32"/>
  <c r="Q32" i="32"/>
  <c r="R32" i="32"/>
  <c r="S32" i="32"/>
  <c r="T32" i="32"/>
  <c r="F33" i="32"/>
  <c r="G33" i="32"/>
  <c r="H33" i="32"/>
  <c r="I33" i="32"/>
  <c r="J33" i="32"/>
  <c r="P33" i="32"/>
  <c r="Q33" i="32"/>
  <c r="R33" i="32"/>
  <c r="S33" i="32"/>
  <c r="T33" i="32"/>
  <c r="F35" i="32"/>
  <c r="G35" i="32"/>
  <c r="H35" i="32"/>
  <c r="I35" i="32"/>
  <c r="J35" i="32"/>
  <c r="P35" i="32"/>
  <c r="Q35" i="32"/>
  <c r="R35" i="32"/>
  <c r="S35" i="32"/>
  <c r="T35" i="32"/>
  <c r="F36" i="32"/>
  <c r="G36" i="32"/>
  <c r="H36" i="32"/>
  <c r="I36" i="32"/>
  <c r="J36" i="32"/>
  <c r="P36" i="32"/>
  <c r="Q36" i="32"/>
  <c r="R36" i="32"/>
  <c r="S36" i="32"/>
  <c r="T36" i="32"/>
  <c r="F42" i="32"/>
  <c r="G42" i="32"/>
  <c r="H42" i="32"/>
  <c r="I42" i="32"/>
  <c r="J42" i="32"/>
  <c r="F43" i="32"/>
  <c r="G43" i="32"/>
  <c r="H43" i="32"/>
  <c r="I43" i="32"/>
  <c r="J43" i="32"/>
  <c r="F45" i="32"/>
  <c r="G45" i="32"/>
  <c r="H45" i="32"/>
  <c r="I45" i="32"/>
  <c r="J45" i="32"/>
  <c r="F46" i="32"/>
  <c r="G46" i="32"/>
  <c r="H46" i="32"/>
  <c r="I46" i="32"/>
  <c r="J46" i="32"/>
  <c r="W51" i="32"/>
  <c r="X51" i="32"/>
  <c r="Y51" i="32"/>
  <c r="Z51" i="32"/>
  <c r="AB51" i="32"/>
  <c r="AC51" i="32"/>
  <c r="AD51" i="32"/>
  <c r="AE51" i="32"/>
  <c r="AB52" i="32"/>
  <c r="AC52" i="32"/>
  <c r="AD52" i="32"/>
  <c r="AE52" i="32"/>
  <c r="AB53" i="32"/>
  <c r="AC53" i="32"/>
  <c r="AD53" i="32"/>
  <c r="AE53" i="32"/>
  <c r="W54" i="32"/>
  <c r="X54" i="32"/>
  <c r="Y54" i="32"/>
  <c r="Z54" i="32"/>
  <c r="AB54" i="32"/>
  <c r="AC54" i="32"/>
  <c r="AD54" i="32"/>
  <c r="AE54" i="32"/>
  <c r="AH54" i="32"/>
  <c r="AI54" i="32"/>
  <c r="AJ54" i="32"/>
  <c r="AK54" i="32"/>
  <c r="AH55" i="32"/>
  <c r="AI55" i="32"/>
  <c r="AJ55" i="32"/>
  <c r="AK55" i="32"/>
  <c r="AH57" i="32"/>
  <c r="AI57" i="32"/>
  <c r="AJ57" i="32"/>
  <c r="AK57" i="32"/>
  <c r="W58" i="32"/>
  <c r="X58" i="32"/>
  <c r="Y58" i="32"/>
  <c r="Z58" i="32"/>
  <c r="AB58" i="32"/>
  <c r="AC58" i="32"/>
  <c r="AD58" i="32"/>
  <c r="AE58" i="32"/>
  <c r="W59" i="32"/>
  <c r="X59" i="32"/>
  <c r="Y59" i="32"/>
  <c r="Z59" i="32"/>
  <c r="AB59" i="32"/>
  <c r="AC59" i="32"/>
  <c r="AD59" i="32"/>
  <c r="AE59" i="32"/>
  <c r="AH59" i="32"/>
  <c r="AI59" i="32"/>
  <c r="AJ59" i="32"/>
  <c r="AK59" i="32"/>
  <c r="O7" i="48"/>
  <c r="P7" i="48"/>
  <c r="R7" i="48"/>
  <c r="T7" i="48"/>
  <c r="O8" i="48"/>
  <c r="P8" i="48"/>
  <c r="R8" i="48"/>
  <c r="T8" i="48"/>
  <c r="O9" i="48"/>
  <c r="P9" i="48"/>
  <c r="R9" i="48"/>
  <c r="T9" i="48"/>
  <c r="O10" i="48"/>
  <c r="P10" i="48"/>
  <c r="R10" i="48"/>
  <c r="T10" i="48"/>
  <c r="O12" i="48"/>
  <c r="P12" i="48"/>
  <c r="R12" i="48"/>
  <c r="T12" i="48"/>
  <c r="O13" i="48"/>
  <c r="P13" i="48"/>
  <c r="R13" i="48"/>
  <c r="T13" i="48"/>
  <c r="O14" i="48"/>
  <c r="P14" i="48"/>
  <c r="R14" i="48"/>
  <c r="T14" i="48"/>
  <c r="O15" i="48"/>
  <c r="P15" i="48"/>
  <c r="R15" i="48"/>
  <c r="T15" i="48"/>
  <c r="P21" i="48"/>
  <c r="R21" i="48"/>
  <c r="T21" i="48"/>
  <c r="P22" i="48"/>
  <c r="R22" i="48"/>
  <c r="T22" i="48"/>
  <c r="P24" i="48"/>
  <c r="R24" i="48"/>
  <c r="T24" i="48"/>
  <c r="P26" i="48"/>
  <c r="R26" i="48"/>
  <c r="T26" i="48"/>
  <c r="P30" i="48"/>
  <c r="R30" i="48"/>
  <c r="T30" i="48"/>
  <c r="P31" i="48"/>
  <c r="R31" i="48"/>
  <c r="T31" i="48"/>
  <c r="P33" i="48"/>
  <c r="R33" i="48"/>
  <c r="T33" i="48"/>
  <c r="P35" i="48"/>
  <c r="R35" i="48"/>
  <c r="T35" i="48"/>
  <c r="P39" i="48"/>
  <c r="R39" i="48"/>
  <c r="T39" i="48"/>
  <c r="P40" i="48"/>
  <c r="R40" i="48"/>
  <c r="T40" i="48"/>
  <c r="P42" i="48"/>
  <c r="R42" i="48"/>
  <c r="T42" i="48"/>
  <c r="P44" i="48"/>
  <c r="R44" i="48"/>
  <c r="T44" i="48"/>
  <c r="P46" i="48"/>
  <c r="R46" i="48"/>
  <c r="T46" i="48"/>
  <c r="P47" i="48"/>
  <c r="R47" i="48"/>
  <c r="T47" i="48"/>
  <c r="P48" i="48"/>
  <c r="R48" i="48"/>
  <c r="T48" i="48"/>
  <c r="O54" i="48"/>
  <c r="P54" i="48"/>
  <c r="Q54" i="48"/>
  <c r="R54" i="48"/>
  <c r="S54" i="48"/>
  <c r="T54" i="48"/>
  <c r="U54" i="48"/>
  <c r="O55" i="48"/>
  <c r="P55" i="48"/>
  <c r="R55" i="48"/>
  <c r="T55" i="48"/>
  <c r="O57" i="48"/>
  <c r="Q57" i="48"/>
  <c r="S57" i="48"/>
  <c r="U57" i="48"/>
  <c r="O58" i="48"/>
  <c r="Q58" i="48"/>
  <c r="S58" i="48"/>
  <c r="U58" i="48"/>
  <c r="O59" i="48"/>
  <c r="Q59" i="48"/>
  <c r="S59" i="48"/>
  <c r="U59" i="48"/>
  <c r="O60" i="48"/>
  <c r="P60" i="48"/>
  <c r="Q60" i="48"/>
  <c r="R60" i="48"/>
  <c r="S60" i="48"/>
  <c r="T60" i="48"/>
  <c r="U60" i="48"/>
  <c r="O61" i="48"/>
  <c r="Q61" i="48"/>
  <c r="S61" i="48"/>
  <c r="U61" i="48"/>
  <c r="O62" i="48"/>
  <c r="Q62" i="48"/>
  <c r="S62" i="48"/>
  <c r="U62" i="48"/>
  <c r="O63" i="48"/>
  <c r="P63" i="48"/>
  <c r="Q63" i="48"/>
  <c r="R63" i="48"/>
  <c r="S63" i="48"/>
  <c r="T63" i="48"/>
  <c r="U63" i="48"/>
  <c r="O64" i="48"/>
  <c r="P64" i="48"/>
  <c r="R64" i="48"/>
  <c r="T64" i="48"/>
  <c r="O68" i="48"/>
  <c r="P68" i="48"/>
  <c r="Q68" i="48"/>
  <c r="R68" i="48"/>
  <c r="S68" i="48"/>
  <c r="T68" i="48"/>
  <c r="U68" i="48"/>
  <c r="O69" i="48"/>
  <c r="P69" i="48"/>
  <c r="Q69" i="48"/>
  <c r="R69" i="48"/>
  <c r="S69" i="48"/>
  <c r="T69" i="48"/>
  <c r="U69" i="48"/>
  <c r="O70" i="48"/>
  <c r="Q70" i="48"/>
  <c r="S70" i="48"/>
  <c r="U70" i="48"/>
  <c r="O71" i="48"/>
  <c r="Q71" i="48"/>
  <c r="S71" i="48"/>
  <c r="U71" i="48"/>
  <c r="O72" i="48"/>
  <c r="Q72" i="48"/>
  <c r="S72" i="48"/>
  <c r="U72" i="48"/>
  <c r="O73" i="48"/>
  <c r="Q73" i="48"/>
  <c r="S73" i="48"/>
  <c r="U73" i="48"/>
  <c r="O74" i="48"/>
  <c r="P74" i="48"/>
  <c r="Q74" i="48"/>
  <c r="R74" i="48"/>
  <c r="S74" i="48"/>
  <c r="T74" i="48"/>
  <c r="U74" i="48"/>
  <c r="O75" i="48"/>
  <c r="P75" i="48"/>
  <c r="R75" i="48"/>
  <c r="T75" i="48"/>
  <c r="O77" i="48"/>
  <c r="Q77" i="48"/>
  <c r="S77" i="48"/>
  <c r="U77" i="48"/>
  <c r="O78" i="48"/>
  <c r="Q78" i="48"/>
  <c r="S78" i="48"/>
  <c r="U78" i="48"/>
  <c r="O79" i="48"/>
  <c r="Q79" i="48"/>
  <c r="S79" i="48"/>
  <c r="U79" i="48"/>
  <c r="O80" i="48"/>
  <c r="P80" i="48"/>
  <c r="Q80" i="48"/>
  <c r="R80" i="48"/>
  <c r="S80" i="48"/>
  <c r="T80" i="48"/>
  <c r="U80" i="48"/>
  <c r="O81" i="48"/>
  <c r="P81" i="48"/>
  <c r="Q81" i="48"/>
  <c r="R81" i="48"/>
  <c r="S81" i="48"/>
  <c r="T81" i="48"/>
  <c r="U81" i="48"/>
  <c r="O82" i="48"/>
  <c r="Q82" i="48"/>
  <c r="S82" i="48"/>
  <c r="U82" i="48"/>
  <c r="O83" i="48"/>
  <c r="P83" i="48"/>
  <c r="Q83" i="48"/>
  <c r="R83" i="48"/>
  <c r="S83" i="48"/>
  <c r="T83" i="48"/>
  <c r="U83" i="48"/>
  <c r="O84" i="48"/>
  <c r="P84" i="48"/>
  <c r="R84" i="48"/>
  <c r="T84" i="48"/>
  <c r="O88" i="48"/>
  <c r="P88" i="48"/>
  <c r="Q88" i="48"/>
  <c r="R88" i="48"/>
  <c r="S88" i="48"/>
  <c r="T88" i="48"/>
  <c r="U88" i="48"/>
  <c r="O89" i="48"/>
  <c r="P89" i="48"/>
  <c r="Q89" i="48"/>
  <c r="R89" i="48"/>
  <c r="S89" i="48"/>
  <c r="T89" i="48"/>
  <c r="U89" i="48"/>
  <c r="O90" i="48"/>
  <c r="P90" i="48"/>
  <c r="Q90" i="48"/>
  <c r="R90" i="48"/>
  <c r="S90" i="48"/>
  <c r="T90" i="48"/>
  <c r="U90" i="48"/>
  <c r="O91" i="48"/>
  <c r="P91" i="48"/>
  <c r="Q91" i="48"/>
  <c r="R91" i="48"/>
  <c r="S91" i="48"/>
  <c r="T91" i="48"/>
  <c r="U91" i="48"/>
  <c r="O92" i="48"/>
  <c r="Q92" i="48"/>
  <c r="S92" i="48"/>
  <c r="U92" i="48"/>
  <c r="O93" i="48"/>
  <c r="Q93" i="48"/>
  <c r="S93" i="48"/>
  <c r="U93" i="48"/>
  <c r="O94" i="48"/>
  <c r="Q94" i="48"/>
  <c r="S94" i="48"/>
  <c r="U94" i="48"/>
  <c r="O95" i="48"/>
  <c r="P95" i="48"/>
  <c r="Q95" i="48"/>
  <c r="R95" i="48"/>
  <c r="S95" i="48"/>
  <c r="T95" i="48"/>
  <c r="U95" i="48"/>
  <c r="O96" i="48"/>
  <c r="P96" i="48"/>
  <c r="R96" i="48"/>
  <c r="T96" i="48"/>
  <c r="O98" i="48"/>
  <c r="Q98" i="48"/>
  <c r="S98" i="48"/>
  <c r="U98" i="48"/>
  <c r="O99" i="48"/>
  <c r="Q99" i="48"/>
  <c r="S99" i="48"/>
  <c r="U99" i="48"/>
  <c r="O100" i="48"/>
  <c r="Q100" i="48"/>
  <c r="S100" i="48"/>
  <c r="U100" i="48"/>
  <c r="O101" i="48"/>
  <c r="P101" i="48"/>
  <c r="Q101" i="48"/>
  <c r="R101" i="48"/>
  <c r="S101" i="48"/>
  <c r="T101" i="48"/>
  <c r="U101" i="48"/>
  <c r="O102" i="48"/>
  <c r="P102" i="48"/>
  <c r="Q102" i="48"/>
  <c r="R102" i="48"/>
  <c r="S102" i="48"/>
  <c r="T102" i="48"/>
  <c r="U102" i="48"/>
  <c r="O103" i="48"/>
  <c r="Q103" i="48"/>
  <c r="S103" i="48"/>
  <c r="U103" i="48"/>
  <c r="O104" i="48"/>
  <c r="P104" i="48"/>
  <c r="Q104" i="48"/>
  <c r="R104" i="48"/>
  <c r="S104" i="48"/>
  <c r="T104" i="48"/>
  <c r="U104" i="48"/>
  <c r="O105" i="48"/>
  <c r="P105" i="48"/>
  <c r="R105" i="48"/>
  <c r="T105" i="48"/>
  <c r="K9" i="35"/>
  <c r="AA9" i="35"/>
  <c r="AP9" i="35"/>
  <c r="F13" i="35"/>
  <c r="H13" i="35"/>
  <c r="J13" i="35"/>
  <c r="M13" i="35"/>
  <c r="N13" i="35"/>
  <c r="O13" i="35"/>
  <c r="P13" i="35"/>
  <c r="V13" i="35"/>
  <c r="X13" i="35"/>
  <c r="Z13" i="35"/>
  <c r="AC13" i="35"/>
  <c r="AD13" i="35"/>
  <c r="AE13" i="35"/>
  <c r="AF13" i="35"/>
  <c r="AK13" i="35"/>
  <c r="AM13" i="35"/>
  <c r="AO13" i="35"/>
  <c r="AR13" i="35"/>
  <c r="AS13" i="35"/>
  <c r="AT13" i="35"/>
  <c r="AU13" i="35"/>
  <c r="F14" i="35"/>
  <c r="H14" i="35"/>
  <c r="J14" i="35"/>
  <c r="M14" i="35"/>
  <c r="N14" i="35"/>
  <c r="O14" i="35"/>
  <c r="P14" i="35"/>
  <c r="V14" i="35"/>
  <c r="X14" i="35"/>
  <c r="Z14" i="35"/>
  <c r="AC14" i="35"/>
  <c r="AD14" i="35"/>
  <c r="AE14" i="35"/>
  <c r="AF14" i="35"/>
  <c r="AK14" i="35"/>
  <c r="AM14" i="35"/>
  <c r="AO14" i="35"/>
  <c r="AR14" i="35"/>
  <c r="AS14" i="35"/>
  <c r="AT14" i="35"/>
  <c r="AU14" i="35"/>
  <c r="F15" i="35"/>
  <c r="H15" i="35"/>
  <c r="J15" i="35"/>
  <c r="M15" i="35"/>
  <c r="N15" i="35"/>
  <c r="O15" i="35"/>
  <c r="P15" i="35"/>
  <c r="V15" i="35"/>
  <c r="X15" i="35"/>
  <c r="Z15" i="35"/>
  <c r="AC15" i="35"/>
  <c r="AD15" i="35"/>
  <c r="AE15" i="35"/>
  <c r="AF15" i="35"/>
  <c r="AK15" i="35"/>
  <c r="AM15" i="35"/>
  <c r="AO15" i="35"/>
  <c r="AR15" i="35"/>
  <c r="AS15" i="35"/>
  <c r="AT15" i="35"/>
  <c r="AU15" i="35"/>
  <c r="F16" i="35"/>
  <c r="H16" i="35"/>
  <c r="J16" i="35"/>
  <c r="M16" i="35"/>
  <c r="N16" i="35"/>
  <c r="O16" i="35"/>
  <c r="P16" i="35"/>
  <c r="V16" i="35"/>
  <c r="X16" i="35"/>
  <c r="Z16" i="35"/>
  <c r="AC16" i="35"/>
  <c r="AD16" i="35"/>
  <c r="AE16" i="35"/>
  <c r="AF16" i="35"/>
  <c r="AK16" i="35"/>
  <c r="AM16" i="35"/>
  <c r="AO16" i="35"/>
  <c r="AR16" i="35"/>
  <c r="AS16" i="35"/>
  <c r="AT16" i="35"/>
  <c r="AU16" i="35"/>
  <c r="F17" i="35"/>
  <c r="H17" i="35"/>
  <c r="J17" i="35"/>
  <c r="M17" i="35"/>
  <c r="N17" i="35"/>
  <c r="O17" i="35"/>
  <c r="P17" i="35"/>
  <c r="V17" i="35"/>
  <c r="X17" i="35"/>
  <c r="Z17" i="35"/>
  <c r="AC17" i="35"/>
  <c r="AD17" i="35"/>
  <c r="AE17" i="35"/>
  <c r="AF17" i="35"/>
  <c r="AK17" i="35"/>
  <c r="AM17" i="35"/>
  <c r="AO17" i="35"/>
  <c r="AR17" i="35"/>
  <c r="AS17" i="35"/>
  <c r="AT17" i="35"/>
  <c r="AU17" i="35"/>
  <c r="F18" i="35"/>
  <c r="H18" i="35"/>
  <c r="J18" i="35"/>
  <c r="M18" i="35"/>
  <c r="N18" i="35"/>
  <c r="O18" i="35"/>
  <c r="P18" i="35"/>
  <c r="V18" i="35"/>
  <c r="X18" i="35"/>
  <c r="Z18" i="35"/>
  <c r="AC18" i="35"/>
  <c r="AD18" i="35"/>
  <c r="AE18" i="35"/>
  <c r="AF18" i="35"/>
  <c r="AK18" i="35"/>
  <c r="AM18" i="35"/>
  <c r="AO18" i="35"/>
  <c r="AR18" i="35"/>
  <c r="AS18" i="35"/>
  <c r="AT18" i="35"/>
  <c r="AU18" i="35"/>
  <c r="F19" i="35"/>
  <c r="H19" i="35"/>
  <c r="J19" i="35"/>
  <c r="M19" i="35"/>
  <c r="N19" i="35"/>
  <c r="O19" i="35"/>
  <c r="P19" i="35"/>
  <c r="V19" i="35"/>
  <c r="X19" i="35"/>
  <c r="Z19" i="35"/>
  <c r="AC19" i="35"/>
  <c r="AD19" i="35"/>
  <c r="AE19" i="35"/>
  <c r="AF19" i="35"/>
  <c r="AK19" i="35"/>
  <c r="AM19" i="35"/>
  <c r="AO19" i="35"/>
  <c r="AR19" i="35"/>
  <c r="AS19" i="35"/>
  <c r="AT19" i="35"/>
  <c r="AU19" i="35"/>
  <c r="F20" i="35"/>
  <c r="H20" i="35"/>
  <c r="J20" i="35"/>
  <c r="M20" i="35"/>
  <c r="N20" i="35"/>
  <c r="O20" i="35"/>
  <c r="P20" i="35"/>
  <c r="V20" i="35"/>
  <c r="X20" i="35"/>
  <c r="Z20" i="35"/>
  <c r="AC20" i="35"/>
  <c r="AD20" i="35"/>
  <c r="AE20" i="35"/>
  <c r="AF20" i="35"/>
  <c r="AK20" i="35"/>
  <c r="AM20" i="35"/>
  <c r="AO20" i="35"/>
  <c r="AR20" i="35"/>
  <c r="AS20" i="35"/>
  <c r="AT20" i="35"/>
  <c r="AU20" i="35"/>
  <c r="F21" i="35"/>
  <c r="H21" i="35"/>
  <c r="J21" i="35"/>
  <c r="M21" i="35"/>
  <c r="N21" i="35"/>
  <c r="O21" i="35"/>
  <c r="P21" i="35"/>
  <c r="V21" i="35"/>
  <c r="X21" i="35"/>
  <c r="Z21" i="35"/>
  <c r="AC21" i="35"/>
  <c r="AD21" i="35"/>
  <c r="AE21" i="35"/>
  <c r="AF21" i="35"/>
  <c r="AK21" i="35"/>
  <c r="AM21" i="35"/>
  <c r="AO21" i="35"/>
  <c r="AR21" i="35"/>
  <c r="AS21" i="35"/>
  <c r="AT21" i="35"/>
  <c r="AU21" i="35"/>
  <c r="F22" i="35"/>
  <c r="H22" i="35"/>
  <c r="J22" i="35"/>
  <c r="M22" i="35"/>
  <c r="N22" i="35"/>
  <c r="O22" i="35"/>
  <c r="P22" i="35"/>
  <c r="V22" i="35"/>
  <c r="X22" i="35"/>
  <c r="Z22" i="35"/>
  <c r="AC22" i="35"/>
  <c r="AD22" i="35"/>
  <c r="AE22" i="35"/>
  <c r="AF22" i="35"/>
  <c r="AK22" i="35"/>
  <c r="AM22" i="35"/>
  <c r="AO22" i="35"/>
  <c r="AR22" i="35"/>
  <c r="AS22" i="35"/>
  <c r="AT22" i="35"/>
  <c r="AU22" i="35"/>
  <c r="F23" i="35"/>
  <c r="H23" i="35"/>
  <c r="J23" i="35"/>
  <c r="M23" i="35"/>
  <c r="N23" i="35"/>
  <c r="O23" i="35"/>
  <c r="P23" i="35"/>
  <c r="V23" i="35"/>
  <c r="X23" i="35"/>
  <c r="Z23" i="35"/>
  <c r="AC23" i="35"/>
  <c r="AD23" i="35"/>
  <c r="AE23" i="35"/>
  <c r="AF23" i="35"/>
  <c r="AK23" i="35"/>
  <c r="AM23" i="35"/>
  <c r="AO23" i="35"/>
  <c r="AR23" i="35"/>
  <c r="AS23" i="35"/>
  <c r="AT23" i="35"/>
  <c r="AU23" i="35"/>
  <c r="F24" i="35"/>
  <c r="H24" i="35"/>
  <c r="J24" i="35"/>
  <c r="M24" i="35"/>
  <c r="N24" i="35"/>
  <c r="O24" i="35"/>
  <c r="P24" i="35"/>
  <c r="V24" i="35"/>
  <c r="X24" i="35"/>
  <c r="Z24" i="35"/>
  <c r="AC24" i="35"/>
  <c r="AD24" i="35"/>
  <c r="AE24" i="35"/>
  <c r="AF24" i="35"/>
  <c r="AK24" i="35"/>
  <c r="AM24" i="35"/>
  <c r="AO24" i="35"/>
  <c r="AR24" i="35"/>
  <c r="AS24" i="35"/>
  <c r="AT24" i="35"/>
  <c r="AU24" i="35"/>
  <c r="F25" i="35"/>
  <c r="H25" i="35"/>
  <c r="J25" i="35"/>
  <c r="M25" i="35"/>
  <c r="N25" i="35"/>
  <c r="O25" i="35"/>
  <c r="P25" i="35"/>
  <c r="V25" i="35"/>
  <c r="X25" i="35"/>
  <c r="Z25" i="35"/>
  <c r="AC25" i="35"/>
  <c r="AD25" i="35"/>
  <c r="AE25" i="35"/>
  <c r="AF25" i="35"/>
  <c r="AK25" i="35"/>
  <c r="AM25" i="35"/>
  <c r="AO25" i="35"/>
  <c r="AR25" i="35"/>
  <c r="AS25" i="35"/>
  <c r="AT25" i="35"/>
  <c r="AU25" i="35"/>
  <c r="F26" i="35"/>
  <c r="H26" i="35"/>
  <c r="J26" i="35"/>
  <c r="M26" i="35"/>
  <c r="N26" i="35"/>
  <c r="O26" i="35"/>
  <c r="P26" i="35"/>
  <c r="V26" i="35"/>
  <c r="X26" i="35"/>
  <c r="Z26" i="35"/>
  <c r="AC26" i="35"/>
  <c r="AD26" i="35"/>
  <c r="AE26" i="35"/>
  <c r="AF26" i="35"/>
  <c r="AK26" i="35"/>
  <c r="AM26" i="35"/>
  <c r="AO26" i="35"/>
  <c r="AR26" i="35"/>
  <c r="AS26" i="35"/>
  <c r="AT26" i="35"/>
  <c r="AU26" i="35"/>
  <c r="F27" i="35"/>
  <c r="H27" i="35"/>
  <c r="J27" i="35"/>
  <c r="M27" i="35"/>
  <c r="N27" i="35"/>
  <c r="O27" i="35"/>
  <c r="P27" i="35"/>
  <c r="V27" i="35"/>
  <c r="X27" i="35"/>
  <c r="Z27" i="35"/>
  <c r="AC27" i="35"/>
  <c r="AD27" i="35"/>
  <c r="AE27" i="35"/>
  <c r="AF27" i="35"/>
  <c r="AK27" i="35"/>
  <c r="AM27" i="35"/>
  <c r="AO27" i="35"/>
  <c r="AR27" i="35"/>
  <c r="AS27" i="35"/>
  <c r="AT27" i="35"/>
  <c r="AU27" i="35"/>
  <c r="F28" i="35"/>
  <c r="H28" i="35"/>
  <c r="J28" i="35"/>
  <c r="M28" i="35"/>
  <c r="N28" i="35"/>
  <c r="O28" i="35"/>
  <c r="P28" i="35"/>
  <c r="V28" i="35"/>
  <c r="X28" i="35"/>
  <c r="Z28" i="35"/>
  <c r="AC28" i="35"/>
  <c r="AD28" i="35"/>
  <c r="AE28" i="35"/>
  <c r="AF28" i="35"/>
  <c r="AK28" i="35"/>
  <c r="AM28" i="35"/>
  <c r="AO28" i="35"/>
  <c r="AR28" i="35"/>
  <c r="AS28" i="35"/>
  <c r="AT28" i="35"/>
  <c r="AU28" i="35"/>
  <c r="F29" i="35"/>
  <c r="H29" i="35"/>
  <c r="J29" i="35"/>
  <c r="M29" i="35"/>
  <c r="N29" i="35"/>
  <c r="O29" i="35"/>
  <c r="P29" i="35"/>
  <c r="V29" i="35"/>
  <c r="X29" i="35"/>
  <c r="Z29" i="35"/>
  <c r="AC29" i="35"/>
  <c r="AD29" i="35"/>
  <c r="AE29" i="35"/>
  <c r="AF29" i="35"/>
  <c r="AK29" i="35"/>
  <c r="AM29" i="35"/>
  <c r="AO29" i="35"/>
  <c r="AR29" i="35"/>
  <c r="AS29" i="35"/>
  <c r="AT29" i="35"/>
  <c r="AU29" i="35"/>
  <c r="F30" i="35"/>
  <c r="H30" i="35"/>
  <c r="J30" i="35"/>
  <c r="M30" i="35"/>
  <c r="N30" i="35"/>
  <c r="O30" i="35"/>
  <c r="P30" i="35"/>
  <c r="V30" i="35"/>
  <c r="X30" i="35"/>
  <c r="Z30" i="35"/>
  <c r="AC30" i="35"/>
  <c r="AD30" i="35"/>
  <c r="AE30" i="35"/>
  <c r="AF30" i="35"/>
  <c r="AK30" i="35"/>
  <c r="AM30" i="35"/>
  <c r="AO30" i="35"/>
  <c r="AR30" i="35"/>
  <c r="AS30" i="35"/>
  <c r="AT30" i="35"/>
  <c r="AU30" i="35"/>
  <c r="F31" i="35"/>
  <c r="H31" i="35"/>
  <c r="J31" i="35"/>
  <c r="M31" i="35"/>
  <c r="N31" i="35"/>
  <c r="O31" i="35"/>
  <c r="P31" i="35"/>
  <c r="V31" i="35"/>
  <c r="X31" i="35"/>
  <c r="Z31" i="35"/>
  <c r="AC31" i="35"/>
  <c r="AD31" i="35"/>
  <c r="AE31" i="35"/>
  <c r="AF31" i="35"/>
  <c r="AK31" i="35"/>
  <c r="AM31" i="35"/>
  <c r="AO31" i="35"/>
  <c r="AR31" i="35"/>
  <c r="AS31" i="35"/>
  <c r="AT31" i="35"/>
  <c r="AU31" i="35"/>
  <c r="F32" i="35"/>
  <c r="H32" i="35"/>
  <c r="J32" i="35"/>
  <c r="M32" i="35"/>
  <c r="N32" i="35"/>
  <c r="O32" i="35"/>
  <c r="P32" i="35"/>
  <c r="V32" i="35"/>
  <c r="X32" i="35"/>
  <c r="Z32" i="35"/>
  <c r="AC32" i="35"/>
  <c r="AD32" i="35"/>
  <c r="AE32" i="35"/>
  <c r="AF32" i="35"/>
  <c r="AK32" i="35"/>
  <c r="AM32" i="35"/>
  <c r="AO32" i="35"/>
  <c r="AR32" i="35"/>
  <c r="AS32" i="35"/>
  <c r="AT32" i="35"/>
  <c r="AU32" i="35"/>
  <c r="F33" i="35"/>
  <c r="H33" i="35"/>
  <c r="J33" i="35"/>
  <c r="M33" i="35"/>
  <c r="N33" i="35"/>
  <c r="O33" i="35"/>
  <c r="P33" i="35"/>
  <c r="V33" i="35"/>
  <c r="X33" i="35"/>
  <c r="Z33" i="35"/>
  <c r="AC33" i="35"/>
  <c r="AD33" i="35"/>
  <c r="AE33" i="35"/>
  <c r="AF33" i="35"/>
  <c r="AK33" i="35"/>
  <c r="AM33" i="35"/>
  <c r="AO33" i="35"/>
  <c r="AR33" i="35"/>
  <c r="AS33" i="35"/>
  <c r="AT33" i="35"/>
  <c r="AU33" i="35"/>
  <c r="F34" i="35"/>
  <c r="H34" i="35"/>
  <c r="J34" i="35"/>
  <c r="M34" i="35"/>
  <c r="N34" i="35"/>
  <c r="O34" i="35"/>
  <c r="P34" i="35"/>
  <c r="V34" i="35"/>
  <c r="X34" i="35"/>
  <c r="Z34" i="35"/>
  <c r="AC34" i="35"/>
  <c r="AD34" i="35"/>
  <c r="AE34" i="35"/>
  <c r="AF34" i="35"/>
  <c r="AK34" i="35"/>
  <c r="AM34" i="35"/>
  <c r="AO34" i="35"/>
  <c r="AR34" i="35"/>
  <c r="AS34" i="35"/>
  <c r="AT34" i="35"/>
  <c r="AU34" i="35"/>
  <c r="F35" i="35"/>
  <c r="H35" i="35"/>
  <c r="J35" i="35"/>
  <c r="M35" i="35"/>
  <c r="N35" i="35"/>
  <c r="O35" i="35"/>
  <c r="P35" i="35"/>
  <c r="V35" i="35"/>
  <c r="X35" i="35"/>
  <c r="Z35" i="35"/>
  <c r="AC35" i="35"/>
  <c r="AD35" i="35"/>
  <c r="AE35" i="35"/>
  <c r="AF35" i="35"/>
  <c r="AK35" i="35"/>
  <c r="AM35" i="35"/>
  <c r="AO35" i="35"/>
  <c r="AR35" i="35"/>
  <c r="AS35" i="35"/>
  <c r="AT35" i="35"/>
  <c r="AU35" i="35"/>
  <c r="F36" i="35"/>
  <c r="H36" i="35"/>
  <c r="J36" i="35"/>
  <c r="M36" i="35"/>
  <c r="N36" i="35"/>
  <c r="O36" i="35"/>
  <c r="P36" i="35"/>
  <c r="V36" i="35"/>
  <c r="X36" i="35"/>
  <c r="Z36" i="35"/>
  <c r="AC36" i="35"/>
  <c r="AD36" i="35"/>
  <c r="AE36" i="35"/>
  <c r="AF36" i="35"/>
  <c r="AK36" i="35"/>
  <c r="AM36" i="35"/>
  <c r="AO36" i="35"/>
  <c r="AR36" i="35"/>
  <c r="AS36" i="35"/>
  <c r="AT36" i="35"/>
  <c r="AU36" i="35"/>
  <c r="F37" i="35"/>
  <c r="H37" i="35"/>
  <c r="J37" i="35"/>
  <c r="M37" i="35"/>
  <c r="N37" i="35"/>
  <c r="O37" i="35"/>
  <c r="P37" i="35"/>
  <c r="V37" i="35"/>
  <c r="X37" i="35"/>
  <c r="Z37" i="35"/>
  <c r="AC37" i="35"/>
  <c r="AD37" i="35"/>
  <c r="AE37" i="35"/>
  <c r="AF37" i="35"/>
  <c r="AK37" i="35"/>
  <c r="AM37" i="35"/>
  <c r="AO37" i="35"/>
  <c r="AR37" i="35"/>
  <c r="AS37" i="35"/>
  <c r="AT37" i="35"/>
  <c r="AU37" i="35"/>
  <c r="F38" i="35"/>
  <c r="H38" i="35"/>
  <c r="J38" i="35"/>
  <c r="M38" i="35"/>
  <c r="N38" i="35"/>
  <c r="O38" i="35"/>
  <c r="P38" i="35"/>
  <c r="V38" i="35"/>
  <c r="X38" i="35"/>
  <c r="Z38" i="35"/>
  <c r="AC38" i="35"/>
  <c r="AD38" i="35"/>
  <c r="AE38" i="35"/>
  <c r="AF38" i="35"/>
  <c r="AK38" i="35"/>
  <c r="AM38" i="35"/>
  <c r="AO38" i="35"/>
  <c r="AR38" i="35"/>
  <c r="AS38" i="35"/>
  <c r="AT38" i="35"/>
  <c r="AU38" i="35"/>
  <c r="F39" i="35"/>
  <c r="H39" i="35"/>
  <c r="J39" i="35"/>
  <c r="M39" i="35"/>
  <c r="N39" i="35"/>
  <c r="O39" i="35"/>
  <c r="P39" i="35"/>
  <c r="V39" i="35"/>
  <c r="X39" i="35"/>
  <c r="Z39" i="35"/>
  <c r="AC39" i="35"/>
  <c r="AD39" i="35"/>
  <c r="AE39" i="35"/>
  <c r="AF39" i="35"/>
  <c r="AK39" i="35"/>
  <c r="AM39" i="35"/>
  <c r="AO39" i="35"/>
  <c r="AR39" i="35"/>
  <c r="AS39" i="35"/>
  <c r="AT39" i="35"/>
  <c r="AU39" i="35"/>
  <c r="F40" i="35"/>
  <c r="H40" i="35"/>
  <c r="J40" i="35"/>
  <c r="M40" i="35"/>
  <c r="N40" i="35"/>
  <c r="O40" i="35"/>
  <c r="P40" i="35"/>
  <c r="V40" i="35"/>
  <c r="X40" i="35"/>
  <c r="Z40" i="35"/>
  <c r="AC40" i="35"/>
  <c r="AD40" i="35"/>
  <c r="AE40" i="35"/>
  <c r="AF40" i="35"/>
  <c r="AK40" i="35"/>
  <c r="AM40" i="35"/>
  <c r="AO40" i="35"/>
  <c r="AR40" i="35"/>
  <c r="AS40" i="35"/>
  <c r="AT40" i="35"/>
  <c r="AU40" i="35"/>
  <c r="F41" i="35"/>
  <c r="H41" i="35"/>
  <c r="J41" i="35"/>
  <c r="M41" i="35"/>
  <c r="N41" i="35"/>
  <c r="O41" i="35"/>
  <c r="P41" i="35"/>
  <c r="V41" i="35"/>
  <c r="X41" i="35"/>
  <c r="Z41" i="35"/>
  <c r="AC41" i="35"/>
  <c r="AD41" i="35"/>
  <c r="AE41" i="35"/>
  <c r="AF41" i="35"/>
  <c r="AK41" i="35"/>
  <c r="AM41" i="35"/>
  <c r="AO41" i="35"/>
  <c r="AR41" i="35"/>
  <c r="AS41" i="35"/>
  <c r="AT41" i="35"/>
  <c r="AU41" i="35"/>
  <c r="F42" i="35"/>
  <c r="H42" i="35"/>
  <c r="J42" i="35"/>
  <c r="M42" i="35"/>
  <c r="N42" i="35"/>
  <c r="O42" i="35"/>
  <c r="P42" i="35"/>
  <c r="V42" i="35"/>
  <c r="X42" i="35"/>
  <c r="Z42" i="35"/>
  <c r="AC42" i="35"/>
  <c r="AD42" i="35"/>
  <c r="AE42" i="35"/>
  <c r="AF42" i="35"/>
  <c r="AK42" i="35"/>
  <c r="AM42" i="35"/>
  <c r="AO42" i="35"/>
  <c r="AR42" i="35"/>
  <c r="AS42" i="35"/>
  <c r="AT42" i="35"/>
  <c r="AU42" i="35"/>
  <c r="F43" i="35"/>
  <c r="H43" i="35"/>
  <c r="J43" i="35"/>
  <c r="M43" i="35"/>
  <c r="N43" i="35"/>
  <c r="O43" i="35"/>
  <c r="P43" i="35"/>
  <c r="V43" i="35"/>
  <c r="X43" i="35"/>
  <c r="Z43" i="35"/>
  <c r="AC43" i="35"/>
  <c r="AD43" i="35"/>
  <c r="AE43" i="35"/>
  <c r="AF43" i="35"/>
  <c r="AK43" i="35"/>
  <c r="AM43" i="35"/>
  <c r="AO43" i="35"/>
  <c r="AR43" i="35"/>
  <c r="AS43" i="35"/>
  <c r="AT43" i="35"/>
  <c r="AU43" i="35"/>
  <c r="F44" i="35"/>
  <c r="H44" i="35"/>
  <c r="J44" i="35"/>
  <c r="M44" i="35"/>
  <c r="N44" i="35"/>
  <c r="O44" i="35"/>
  <c r="P44" i="35"/>
  <c r="V44" i="35"/>
  <c r="X44" i="35"/>
  <c r="Z44" i="35"/>
  <c r="AC44" i="35"/>
  <c r="AD44" i="35"/>
  <c r="AE44" i="35"/>
  <c r="AF44" i="35"/>
  <c r="AK44" i="35"/>
  <c r="AM44" i="35"/>
  <c r="AO44" i="35"/>
  <c r="AR44" i="35"/>
  <c r="AS44" i="35"/>
  <c r="AT44" i="35"/>
  <c r="AU44" i="35"/>
  <c r="F45" i="35"/>
  <c r="H45" i="35"/>
  <c r="J45" i="35"/>
  <c r="M45" i="35"/>
  <c r="N45" i="35"/>
  <c r="O45" i="35"/>
  <c r="P45" i="35"/>
  <c r="V45" i="35"/>
  <c r="X45" i="35"/>
  <c r="Z45" i="35"/>
  <c r="AC45" i="35"/>
  <c r="AD45" i="35"/>
  <c r="AE45" i="35"/>
  <c r="AF45" i="35"/>
  <c r="AK45" i="35"/>
  <c r="AM45" i="35"/>
  <c r="AO45" i="35"/>
  <c r="AR45" i="35"/>
  <c r="AS45" i="35"/>
  <c r="AT45" i="35"/>
  <c r="AU45" i="35"/>
  <c r="O46" i="35"/>
  <c r="AE46" i="35"/>
  <c r="AT46" i="35"/>
  <c r="O47" i="35"/>
  <c r="AE47" i="35"/>
  <c r="AT47" i="35"/>
</calcChain>
</file>

<file path=xl/sharedStrings.xml><?xml version="1.0" encoding="utf-8"?>
<sst xmlns="http://schemas.openxmlformats.org/spreadsheetml/2006/main" count="2870" uniqueCount="783">
  <si>
    <t xml:space="preserve">Net Operating Income </t>
  </si>
  <si>
    <t>Total Net Operating Income</t>
  </si>
  <si>
    <t>Development Costs</t>
  </si>
  <si>
    <t>Total Development Costs</t>
  </si>
  <si>
    <t>Annual Cash Flow</t>
  </si>
  <si>
    <t>Net Operating Income</t>
  </si>
  <si>
    <t>Project Buildout by Development Units</t>
  </si>
  <si>
    <t>Inflation Factor</t>
  </si>
  <si>
    <t>Infrastructure Costs</t>
  </si>
  <si>
    <t>Expenses</t>
  </si>
  <si>
    <t>Net Present Value</t>
  </si>
  <si>
    <t>Total Costs of Sale</t>
  </si>
  <si>
    <t>Total Buildout</t>
  </si>
  <si>
    <t>(units)</t>
  </si>
  <si>
    <t>(s.f.)</t>
  </si>
  <si>
    <t>(rooms)</t>
  </si>
  <si>
    <t>(spaces)</t>
  </si>
  <si>
    <t>Total</t>
  </si>
  <si>
    <t>Year-by-Year Cumulative Absorption</t>
  </si>
  <si>
    <t>Other</t>
  </si>
  <si>
    <t>Total Costs</t>
  </si>
  <si>
    <t>Phase I</t>
  </si>
  <si>
    <t>1. Summary Pro Forma</t>
  </si>
  <si>
    <t>2. Multiyear Development Program</t>
  </si>
  <si>
    <t>Office/Commercial</t>
  </si>
  <si>
    <t>Retail</t>
  </si>
  <si>
    <t>Hotel</t>
  </si>
  <si>
    <t>Structured Parking</t>
  </si>
  <si>
    <t>Surface Parking</t>
  </si>
  <si>
    <t>Equity</t>
  </si>
  <si>
    <t>Affordable</t>
  </si>
  <si>
    <t>Debt Service</t>
  </si>
  <si>
    <t>3. Unit Development and Infrastructure Costs</t>
  </si>
  <si>
    <t>4. Equity and Financing Sources</t>
  </si>
  <si>
    <t>Amount</t>
  </si>
  <si>
    <t>Equity Sources (total)</t>
  </si>
  <si>
    <t>Financing Sources (total)</t>
  </si>
  <si>
    <t>Unit Cost</t>
  </si>
  <si>
    <t>Utilities</t>
  </si>
  <si>
    <t>Landscaping</t>
  </si>
  <si>
    <t>Other Hardscaping (not incl. surf. pkg.)</t>
  </si>
  <si>
    <t>Public</t>
  </si>
  <si>
    <t>Total Infrastructure</t>
  </si>
  <si>
    <t>Private</t>
  </si>
  <si>
    <t>Roads</t>
  </si>
  <si>
    <t xml:space="preserve">Total Asset Value </t>
  </si>
  <si>
    <t>Projected Site Value (end of Year 10)</t>
  </si>
  <si>
    <t>Land Acquisition</t>
  </si>
  <si>
    <t>Underground Parking</t>
  </si>
  <si>
    <t>Total Income</t>
  </si>
  <si>
    <t>Demolition</t>
  </si>
  <si>
    <t>Remediation</t>
  </si>
  <si>
    <t>Development Fees</t>
  </si>
  <si>
    <t>Acquisition Taxes and Fees</t>
  </si>
  <si>
    <t>2019-2020</t>
  </si>
  <si>
    <t>Exit Assumptions</t>
  </si>
  <si>
    <t>PSF</t>
  </si>
  <si>
    <t>Hard Costs</t>
  </si>
  <si>
    <t>Soft Costs</t>
  </si>
  <si>
    <t>Insurance</t>
  </si>
  <si>
    <t>Developer Fee</t>
  </si>
  <si>
    <t>Acquisition Costs</t>
  </si>
  <si>
    <t>Decking</t>
  </si>
  <si>
    <t>Global</t>
  </si>
  <si>
    <t>Acquisition</t>
  </si>
  <si>
    <t>Site Acquisition Price</t>
  </si>
  <si>
    <t>Acquisition Subtotal</t>
  </si>
  <si>
    <t>Hard Costs Subtotal</t>
  </si>
  <si>
    <t>Architectural &amp; Engineering</t>
  </si>
  <si>
    <t>Permits</t>
  </si>
  <si>
    <t>Environmental/Geotechnical</t>
  </si>
  <si>
    <t>Bank Legal</t>
  </si>
  <si>
    <t>Developer Legal</t>
  </si>
  <si>
    <t>Marketing</t>
  </si>
  <si>
    <t>Title &amp; Survey</t>
  </si>
  <si>
    <t>Construction Monitoring &amp; Testing</t>
  </si>
  <si>
    <t>Construction Inspections</t>
  </si>
  <si>
    <t>LEED Certification Fee</t>
  </si>
  <si>
    <t>Soft Cost Contingency</t>
  </si>
  <si>
    <t>Soft Costs Subtotal</t>
  </si>
  <si>
    <t>Financing Costs</t>
  </si>
  <si>
    <t>Construction Senior Loan Origination Fee</t>
  </si>
  <si>
    <t>Financing Costs Subtotal</t>
  </si>
  <si>
    <t>Reserves</t>
  </si>
  <si>
    <t>Capitalized Operating Reserve</t>
  </si>
  <si>
    <t>Lease-Up Reserve</t>
  </si>
  <si>
    <t>Reserves Subtotal</t>
  </si>
  <si>
    <t>Developer Fee Subtotal</t>
  </si>
  <si>
    <t>Accounting</t>
  </si>
  <si>
    <t>Overall Percentage</t>
  </si>
  <si>
    <t>Gross Square Footage</t>
  </si>
  <si>
    <t>Appraisal</t>
  </si>
  <si>
    <t>Predevelopment Sources</t>
  </si>
  <si>
    <t>Predevelopment Uses</t>
  </si>
  <si>
    <t>Construction Sources</t>
  </si>
  <si>
    <t>Construction Uses</t>
  </si>
  <si>
    <t>Total Sources</t>
  </si>
  <si>
    <t>Total Uses</t>
  </si>
  <si>
    <t>TIF Loan</t>
  </si>
  <si>
    <t>LIHTC Equity</t>
  </si>
  <si>
    <t>NMTC Equity</t>
  </si>
  <si>
    <t>Senior Permanent Loan</t>
  </si>
  <si>
    <t>Permanent Sources</t>
  </si>
  <si>
    <t>Permanent Uses</t>
  </si>
  <si>
    <t>Timing Assumptions</t>
  </si>
  <si>
    <t>Predevelopment Closing</t>
  </si>
  <si>
    <t>Predevelopment Period</t>
  </si>
  <si>
    <t>Construction Closing</t>
  </si>
  <si>
    <t>Construction Period</t>
  </si>
  <si>
    <t>Construction Completion</t>
  </si>
  <si>
    <t>Lease-up Period</t>
  </si>
  <si>
    <t>Stabilization</t>
  </si>
  <si>
    <t>Partnership Hold Period</t>
  </si>
  <si>
    <t>Project Sale</t>
  </si>
  <si>
    <t>Operating Assumptions</t>
  </si>
  <si>
    <t>Studio Units</t>
  </si>
  <si>
    <t>Vacancy</t>
  </si>
  <si>
    <t>Average Size</t>
  </si>
  <si>
    <t>Affordable Residential Vacancy</t>
  </si>
  <si>
    <t>Rent PSF</t>
  </si>
  <si>
    <t>Market Rate Residential Vacancy</t>
  </si>
  <si>
    <t>Rent PU</t>
  </si>
  <si>
    <t>Retail Vacancy</t>
  </si>
  <si>
    <t>1-BR Units</t>
  </si>
  <si>
    <t>Community Facility Vacancy</t>
  </si>
  <si>
    <t>Office Vacancy</t>
  </si>
  <si>
    <t>Rent Growth</t>
  </si>
  <si>
    <t>2-BR Units</t>
  </si>
  <si>
    <t>Affordable Residential Growth</t>
  </si>
  <si>
    <t>Market Rate Residential Growth</t>
  </si>
  <si>
    <t>Retail Growth</t>
  </si>
  <si>
    <t>every…</t>
  </si>
  <si>
    <t>3-BR Units</t>
  </si>
  <si>
    <t>Community Facility Growth</t>
  </si>
  <si>
    <t>Office Growth</t>
  </si>
  <si>
    <t>Total RSF</t>
  </si>
  <si>
    <t>Total Units</t>
  </si>
  <si>
    <t>Retail Reimbursement</t>
  </si>
  <si>
    <t>Blended Rent PSF</t>
  </si>
  <si>
    <t>Community Facility Reimbursement</t>
  </si>
  <si>
    <t>Blended Rent PU</t>
  </si>
  <si>
    <t>Office Reimbursement</t>
  </si>
  <si>
    <t>Market Resi Mix</t>
  </si>
  <si>
    <t>Affordable Residential</t>
  </si>
  <si>
    <t>Market Rate Residential</t>
  </si>
  <si>
    <t>Hotel Operating Expenses</t>
  </si>
  <si>
    <t>Departmental Expenses</t>
  </si>
  <si>
    <t>Community Facility</t>
  </si>
  <si>
    <t>Office</t>
  </si>
  <si>
    <t>Cap Rate</t>
  </si>
  <si>
    <t>Annual Market Resi Gross Rent</t>
  </si>
  <si>
    <t>Hotel Mix</t>
  </si>
  <si>
    <t>Sale Costs</t>
  </si>
  <si>
    <t>Keys</t>
  </si>
  <si>
    <t>Financing</t>
  </si>
  <si>
    <t>RevPAR</t>
  </si>
  <si>
    <t>Occupancy</t>
  </si>
  <si>
    <t>LTC</t>
  </si>
  <si>
    <t>Rate</t>
  </si>
  <si>
    <t>Origination Fee</t>
  </si>
  <si>
    <t>Permanent Senior Bank Loan</t>
  </si>
  <si>
    <t>Total Keys</t>
  </si>
  <si>
    <t>Blended RevPAR PSF</t>
  </si>
  <si>
    <t>F&amp;B</t>
  </si>
  <si>
    <t>Per Occupied Room Night</t>
  </si>
  <si>
    <t>Amortization</t>
  </si>
  <si>
    <t>Annual per Key</t>
  </si>
  <si>
    <t>EB-5 Loan</t>
  </si>
  <si>
    <t>Miscellaneous</t>
  </si>
  <si>
    <t>Retail Mix</t>
  </si>
  <si>
    <t>IO</t>
  </si>
  <si>
    <t>Square Footage</t>
  </si>
  <si>
    <t>Annual Rent</t>
  </si>
  <si>
    <t>9% Credit Allocation / Affordable Unit</t>
  </si>
  <si>
    <t>Total Allocation</t>
  </si>
  <si>
    <t>Pricing</t>
  </si>
  <si>
    <t>Allocation</t>
  </si>
  <si>
    <t>Credits</t>
  </si>
  <si>
    <t>Annual Retail Rent</t>
  </si>
  <si>
    <t>Community Facility Mix</t>
  </si>
  <si>
    <t>Annual Community Facility Rent</t>
  </si>
  <si>
    <t>Office Mix</t>
  </si>
  <si>
    <t>Annual Office Rent</t>
  </si>
  <si>
    <t>Conference Space</t>
  </si>
  <si>
    <t>DSCR</t>
  </si>
  <si>
    <t>LTV</t>
  </si>
  <si>
    <t>Millage Rate</t>
  </si>
  <si>
    <t>TIF Loan Origination Fee</t>
  </si>
  <si>
    <t>Average Utilization</t>
  </si>
  <si>
    <t>All-in Rate</t>
  </si>
  <si>
    <t>Date</t>
  </si>
  <si>
    <t>Project Value</t>
  </si>
  <si>
    <t>Starting Value</t>
  </si>
  <si>
    <t>Every</t>
  </si>
  <si>
    <t>Assessment Rate</t>
  </si>
  <si>
    <t>Assessed Value</t>
  </si>
  <si>
    <t>Incremental Taxes</t>
  </si>
  <si>
    <t>School Percentage</t>
  </si>
  <si>
    <t>Available for Debt Service</t>
  </si>
  <si>
    <t>Minimum DSCR</t>
  </si>
  <si>
    <t>Maximum Debt Service</t>
  </si>
  <si>
    <t>Maximum Loan Size</t>
  </si>
  <si>
    <t>TIF Year</t>
  </si>
  <si>
    <t>Minimum Debt Service</t>
  </si>
  <si>
    <t>Completion Date</t>
  </si>
  <si>
    <t>I</t>
  </si>
  <si>
    <t>Closing Date</t>
  </si>
  <si>
    <t>Annual F&amp;B Revenue</t>
  </si>
  <si>
    <t>Annual Conference Revenue</t>
  </si>
  <si>
    <t>Annual Revenue PSF</t>
  </si>
  <si>
    <t>Guests / Event</t>
  </si>
  <si>
    <t>Revenue / Guest</t>
  </si>
  <si>
    <t>Parking Mix</t>
  </si>
  <si>
    <t>Structural Parking</t>
  </si>
  <si>
    <t>Annual Parking Rent</t>
  </si>
  <si>
    <t>Structural Parking - Revenue</t>
  </si>
  <si>
    <t>Structural Parking - Non-Revenue</t>
  </si>
  <si>
    <t>Surface Parking - Revenue</t>
  </si>
  <si>
    <t>Surface Parking - Non-Revenue</t>
  </si>
  <si>
    <t>Spaces</t>
  </si>
  <si>
    <t>SF / Space</t>
  </si>
  <si>
    <t>Monthly Rent / Space</t>
  </si>
  <si>
    <t>Parking Vacancy</t>
  </si>
  <si>
    <t>Parking Growth</t>
  </si>
  <si>
    <t>Parking</t>
  </si>
  <si>
    <t>Development Mix</t>
  </si>
  <si>
    <t>Square Footages</t>
  </si>
  <si>
    <t>GSF</t>
  </si>
  <si>
    <t>NSF</t>
  </si>
  <si>
    <t>Total NSF</t>
  </si>
  <si>
    <t>Total GSF</t>
  </si>
  <si>
    <t>Total RSF - Structural</t>
  </si>
  <si>
    <t>Total RSF - Surface</t>
  </si>
  <si>
    <t>Units</t>
  </si>
  <si>
    <t>LIBOR Forecast (Construction)</t>
  </si>
  <si>
    <t>Total Development Budget</t>
  </si>
  <si>
    <t>Light Industrial Mix</t>
  </si>
  <si>
    <t>Annual Industrial Rent</t>
  </si>
  <si>
    <t>Industrial</t>
  </si>
  <si>
    <t>CAM + Expense Reimbursement Rate</t>
  </si>
  <si>
    <t>Industrial Vacancy</t>
  </si>
  <si>
    <t>Industrial Growth</t>
  </si>
  <si>
    <t>Industrial Reimbursement</t>
  </si>
  <si>
    <t>II</t>
  </si>
  <si>
    <t>III</t>
  </si>
  <si>
    <t>Phase</t>
  </si>
  <si>
    <t>Gross Revenue</t>
  </si>
  <si>
    <t>Less: Vacancy</t>
  </si>
  <si>
    <t>Space Leased</t>
  </si>
  <si>
    <t>Total On-Line Space EOP</t>
  </si>
  <si>
    <t>Total On-Line Units</t>
  </si>
  <si>
    <t>NOI</t>
  </si>
  <si>
    <t>Total Expenses</t>
  </si>
  <si>
    <t>Expense Growth</t>
  </si>
  <si>
    <t>Revenue Growth Factor</t>
  </si>
  <si>
    <t>Expense Growth Factor</t>
  </si>
  <si>
    <t>Net Revenue</t>
  </si>
  <si>
    <t>Operating Margin</t>
  </si>
  <si>
    <t>Yield-to-Cost</t>
  </si>
  <si>
    <t>TIF Loan Capitalized Interest</t>
  </si>
  <si>
    <t>Construction Senior Loan Capitalized Interest</t>
  </si>
  <si>
    <t>Year from Completion</t>
  </si>
  <si>
    <t>Expense / CAM Reimbursement</t>
  </si>
  <si>
    <t>Market Residential</t>
  </si>
  <si>
    <t>Tax-Exempt Industrial Revenue Bond Loan</t>
  </si>
  <si>
    <t>IRB Loan</t>
  </si>
  <si>
    <t>Loan Sizing</t>
  </si>
  <si>
    <t>Permanent Bank Loan</t>
  </si>
  <si>
    <t>Affordable NOI</t>
  </si>
  <si>
    <t>Affordable Value</t>
  </si>
  <si>
    <t>Market Resi NOI</t>
  </si>
  <si>
    <t>Market Resi Value</t>
  </si>
  <si>
    <t>Retail Value</t>
  </si>
  <si>
    <t>Community Facility Value</t>
  </si>
  <si>
    <t>Office Value</t>
  </si>
  <si>
    <t>Parking Value</t>
  </si>
  <si>
    <t>LTV Constraint Max. Proceeds</t>
  </si>
  <si>
    <t>Retail NOI</t>
  </si>
  <si>
    <t>Community Facility NOI</t>
  </si>
  <si>
    <t>Office NOI</t>
  </si>
  <si>
    <t>Parking NOI</t>
  </si>
  <si>
    <t>DSCR Constraint Max. Proceeds</t>
  </si>
  <si>
    <t>Year from Stabilization</t>
  </si>
  <si>
    <t>Max Annual Payment</t>
  </si>
  <si>
    <t>Max Permanent Loan Proceeds</t>
  </si>
  <si>
    <t>Room Expenses</t>
  </si>
  <si>
    <t>Undistributed Expenses</t>
  </si>
  <si>
    <t>G&amp;A</t>
  </si>
  <si>
    <t>Telecom</t>
  </si>
  <si>
    <t>Franchise Fees</t>
  </si>
  <si>
    <t>Utility Costs</t>
  </si>
  <si>
    <t>Maintenance</t>
  </si>
  <si>
    <t>Management Fees</t>
  </si>
  <si>
    <t>FF&amp;E Reserve</t>
  </si>
  <si>
    <t>Departmental Expenses (% of Relevant Revenue)</t>
  </si>
  <si>
    <t>Undistributed Expenses (% of Total Revenue)</t>
  </si>
  <si>
    <t>Reserves (% of Total Revenue)</t>
  </si>
  <si>
    <t>Conference Space (% of Relevant Revenue)</t>
  </si>
  <si>
    <t>Ramp-Up</t>
  </si>
  <si>
    <t>Year 1 Occupancy</t>
  </si>
  <si>
    <t>Year 1 ADR</t>
  </si>
  <si>
    <t>Stabilized ADR</t>
  </si>
  <si>
    <t>Year 2 Occupancy</t>
  </si>
  <si>
    <t>Year 2 ADR</t>
  </si>
  <si>
    <t>Hotel Growth</t>
  </si>
  <si>
    <t>% Available</t>
  </si>
  <si>
    <t>% On-Line</t>
  </si>
  <si>
    <t>Total Room Revenue</t>
  </si>
  <si>
    <t>Base ADR</t>
  </si>
  <si>
    <t>Adjusted ADR</t>
  </si>
  <si>
    <t>Annual Hotel Revenue</t>
  </si>
  <si>
    <t>Total Available Rooms</t>
  </si>
  <si>
    <t>F&amp;B + Other Expenses</t>
  </si>
  <si>
    <t>F&amp;B and Miscellaneous Revenue</t>
  </si>
  <si>
    <t>Conference Space Revenue</t>
  </si>
  <si>
    <t>Growth Factor</t>
  </si>
  <si>
    <t>Total Hotel Operational Revenue</t>
  </si>
  <si>
    <t>Hotel EBITDA (before Reserves)</t>
  </si>
  <si>
    <t>Total Operating Expenses</t>
  </si>
  <si>
    <t>Hotel Cash Flow after Reserves</t>
  </si>
  <si>
    <t>Hotel Value</t>
  </si>
  <si>
    <t>Industrial Value</t>
  </si>
  <si>
    <t>Industrial NOI</t>
  </si>
  <si>
    <t>Maximum Projected Debt Service</t>
  </si>
  <si>
    <t>Total PILOT and Taxes</t>
  </si>
  <si>
    <t>Existing Taxes</t>
  </si>
  <si>
    <t>Total Stabilized Value</t>
  </si>
  <si>
    <r>
      <t>Total Stabilized NOI</t>
    </r>
    <r>
      <rPr>
        <vertAlign val="superscript"/>
        <sz val="12"/>
        <rFont val="Arial"/>
        <family val="2"/>
      </rPr>
      <t>1</t>
    </r>
  </si>
  <si>
    <t>1. Stabilized NOI incorporates hotel reserves (stabilized value is based on hotel EBITDA before reserves).</t>
  </si>
  <si>
    <t>% NOI</t>
  </si>
  <si>
    <t>% Value</t>
  </si>
  <si>
    <t>PILOT (including TIF) and Taxes</t>
  </si>
  <si>
    <t>City of Cincinnati Grant</t>
  </si>
  <si>
    <t>Total Value</t>
  </si>
  <si>
    <t>Food Hall</t>
  </si>
  <si>
    <t>Blended Exit Cap</t>
  </si>
  <si>
    <t>Senior Construction Loan</t>
  </si>
  <si>
    <t>Senior Loan Balance BOP</t>
  </si>
  <si>
    <t>Interest</t>
  </si>
  <si>
    <t>Senior Loan Balance EOP</t>
  </si>
  <si>
    <t>Cash Flow after Debt Service</t>
  </si>
  <si>
    <t>Exit</t>
  </si>
  <si>
    <t>Gross Sale Proceeds</t>
  </si>
  <si>
    <t>Less: Sale Costs</t>
  </si>
  <si>
    <t>Less: Outstanding Debt</t>
  </si>
  <si>
    <t>Net Sale Proceeds</t>
  </si>
  <si>
    <t>Total Cash Flow to Equity</t>
  </si>
  <si>
    <t>Total Debt Service</t>
  </si>
  <si>
    <t>Funding</t>
  </si>
  <si>
    <t>Capital Events</t>
  </si>
  <si>
    <t>Amenity Fees and Laundry</t>
  </si>
  <si>
    <t>Levered Development Costs</t>
  </si>
  <si>
    <t>Levered Development Costs and Cash Flows</t>
  </si>
  <si>
    <t>Draw Schedule</t>
  </si>
  <si>
    <t>Equity Cash Flows</t>
  </si>
  <si>
    <t>Equity Draws</t>
  </si>
  <si>
    <t>Cash to Equity</t>
  </si>
  <si>
    <t>Total Equity Cash Flows</t>
  </si>
  <si>
    <t>Total Loan Size</t>
  </si>
  <si>
    <t>PnL</t>
  </si>
  <si>
    <t>Equity Multiple</t>
  </si>
  <si>
    <t>Levered IRR</t>
  </si>
  <si>
    <t>Total Phase Cash Flows</t>
  </si>
  <si>
    <r>
      <t>Owner's Contingency</t>
    </r>
    <r>
      <rPr>
        <vertAlign val="superscript"/>
        <sz val="12"/>
        <color theme="1"/>
        <rFont val="Arial"/>
        <family val="2"/>
      </rPr>
      <t>1</t>
    </r>
  </si>
  <si>
    <t>1. Customary to exclude demolition from owner's contingency</t>
  </si>
  <si>
    <t>% before Closing</t>
  </si>
  <si>
    <t>Taxes During Construction</t>
  </si>
  <si>
    <t>Construction Loan</t>
  </si>
  <si>
    <t>Hard Costs (Demolition)</t>
  </si>
  <si>
    <t>Credit Pricing</t>
  </si>
  <si>
    <t>Expenditures during Construction (excluding Predevelopment)</t>
  </si>
  <si>
    <r>
      <t>Fully Loaded Cap Rate</t>
    </r>
    <r>
      <rPr>
        <vertAlign val="superscript"/>
        <sz val="12"/>
        <rFont val="Arial"/>
        <family val="2"/>
      </rPr>
      <t>1</t>
    </r>
  </si>
  <si>
    <t>1. Based on guidance from the Hamilton County Auditor for previous TIF bond issuances.</t>
  </si>
  <si>
    <t>Equity Returns</t>
  </si>
  <si>
    <t>Project (Unlevered) Returns</t>
  </si>
  <si>
    <r>
      <t>Plus: Refinance Proceeds</t>
    </r>
    <r>
      <rPr>
        <vertAlign val="superscript"/>
        <sz val="12"/>
        <rFont val="Arial"/>
        <family val="2"/>
      </rPr>
      <t>1</t>
    </r>
  </si>
  <si>
    <t>Total Cost less Subsidies</t>
  </si>
  <si>
    <t>Number of Events per Year</t>
  </si>
  <si>
    <t>Live Work Units</t>
  </si>
  <si>
    <t>Live-Work Units (4-BR)</t>
  </si>
  <si>
    <t>STEM Charter School</t>
  </si>
  <si>
    <t>Phase II</t>
  </si>
  <si>
    <t>Public Park Space</t>
  </si>
  <si>
    <t>Total Draws</t>
  </si>
  <si>
    <t>Phase III</t>
  </si>
  <si>
    <t>Amenity Fees</t>
  </si>
  <si>
    <t>Laundry-Amenity / MR Occ. Mo.</t>
  </si>
  <si>
    <t>Laundry-Amenity / Aff. Occ. Mo.</t>
  </si>
  <si>
    <t>Total Development Budget (excl Parking Hard Costs)</t>
  </si>
  <si>
    <t>Hard Cost PU</t>
  </si>
  <si>
    <t>TDC PU</t>
  </si>
  <si>
    <t>TDC PSF</t>
  </si>
  <si>
    <t>Cost Growth</t>
  </si>
  <si>
    <t>Years to Inflate</t>
  </si>
  <si>
    <t>Inflation</t>
  </si>
  <si>
    <t>Operating Expenses and Replacement Reserves</t>
  </si>
  <si>
    <t>Operating Expenses and Replacement Reserves PU (Annual)</t>
  </si>
  <si>
    <t>Unlevered Development Costs and Cash Flows</t>
  </si>
  <si>
    <t>Unlevered Development Costs</t>
  </si>
  <si>
    <t>Unlevered IRR</t>
  </si>
  <si>
    <t>Levered Cash Flows</t>
  </si>
  <si>
    <t>Total Levered Cash Flows</t>
  </si>
  <si>
    <t>Unlevered Cash Flows</t>
  </si>
  <si>
    <t>Total Unlevered Cash Flows</t>
  </si>
  <si>
    <t>Equity Investment</t>
  </si>
  <si>
    <t>Tax Basis</t>
  </si>
  <si>
    <t>Balance BOP</t>
  </si>
  <si>
    <t>Cash Flow to Equity</t>
  </si>
  <si>
    <t>Balance EOP</t>
  </si>
  <si>
    <t>Sale Value</t>
  </si>
  <si>
    <t>Opportunity Zones</t>
  </si>
  <si>
    <t>Marginal Tax Rate</t>
  </si>
  <si>
    <t>Post-Tax OZ Cash Flows</t>
  </si>
  <si>
    <t>Post-Tax Non-OZ Cash Flows</t>
  </si>
  <si>
    <t>Income Taxes</t>
  </si>
  <si>
    <t>Cash Flow</t>
  </si>
  <si>
    <t>Depreciation</t>
  </si>
  <si>
    <t>Unlevered Opportunity Zone Cash Flows</t>
  </si>
  <si>
    <t>Depreciable Life</t>
  </si>
  <si>
    <t>Depreciable % of costs</t>
  </si>
  <si>
    <t>Capital Gains</t>
  </si>
  <si>
    <t>Capital Gains Taxes</t>
  </si>
  <si>
    <t>Deferred Prior Capital Gains</t>
  </si>
  <si>
    <t>Payment of Prior Capital Gains</t>
  </si>
  <si>
    <t>Reduction of Prior Capital Gains</t>
  </si>
  <si>
    <t>Eligible Prior Capital Gains Reductions</t>
  </si>
  <si>
    <t>Post-Tax Non-OZ Unlevered IRR</t>
  </si>
  <si>
    <t>Post-Tax OZ Unlevered IRR</t>
  </si>
  <si>
    <t>"Gross-Up" Pre-Tax OZ Unlevered IRR</t>
  </si>
  <si>
    <t>Workforce Rental Housing</t>
  </si>
  <si>
    <t>Affordable Rental Housing</t>
  </si>
  <si>
    <t>Affordable For-Sale Housing</t>
  </si>
  <si>
    <t>Market-Rate For Sale Housing</t>
  </si>
  <si>
    <t>Market-Rate Rental Housing</t>
  </si>
  <si>
    <t>Sale</t>
  </si>
  <si>
    <t>Soft Costs and Reserves</t>
  </si>
  <si>
    <t>Less: Sales Cost</t>
  </si>
  <si>
    <t>Total Unlevered Development Costs</t>
  </si>
  <si>
    <t>Levered Net Cash Flow</t>
  </si>
  <si>
    <t>Levered IRR Before Taxes</t>
  </si>
  <si>
    <t>Unlevered IRR Before Taxes</t>
  </si>
  <si>
    <t>Capitalized Financing Costs</t>
  </si>
  <si>
    <t>TDC Net of Subsidies</t>
  </si>
  <si>
    <t>Public Subsidies</t>
  </si>
  <si>
    <t>Levered TDC Net of Subsidies</t>
  </si>
  <si>
    <t>Tax Credits &amp; TIF Subsidies</t>
  </si>
  <si>
    <t>Total Development Costs (net of Subsidies)</t>
  </si>
  <si>
    <t>Unlevered Net Cash Flow</t>
  </si>
  <si>
    <t>Total Loan Proceeds</t>
  </si>
  <si>
    <t>1. As the project is located in an Opportunity Zone, we expect an investor would evaluate the returns incorporating the post-tax benefit. For reference, therefore, we have provided the "pre-tax" equivalent IRR, or the IRR that would have to be achieved in the absence of Opportunity Zone benefits in order to achieve the same post-tax return.</t>
  </si>
  <si>
    <r>
      <t>Current Site Value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(start of Year 0)</t>
    </r>
  </si>
  <si>
    <t>2. We are proposing a discounted sale of City-owned parcels in exchange for the construction of specific public benefits, including public park space improvements and community facility space. Therefore, we have incorporated these "in-kind' acquisition costs as part of our current site value.</t>
  </si>
  <si>
    <t>Parcel</t>
  </si>
  <si>
    <t>Parcel B</t>
  </si>
  <si>
    <t>Parcel C</t>
  </si>
  <si>
    <t>Parcel D</t>
  </si>
  <si>
    <t>Parcel E</t>
  </si>
  <si>
    <t>Parcel F</t>
  </si>
  <si>
    <t>Parcel G</t>
  </si>
  <si>
    <t>Parcel H</t>
  </si>
  <si>
    <t>Parcel I</t>
  </si>
  <si>
    <t>Parcel J</t>
  </si>
  <si>
    <t>Parcel K</t>
  </si>
  <si>
    <t>Parcel M</t>
  </si>
  <si>
    <t>Parcel N</t>
  </si>
  <si>
    <t>Parcel O</t>
  </si>
  <si>
    <t>Parcel A1</t>
  </si>
  <si>
    <t>Parcel A2</t>
  </si>
  <si>
    <t>Parcel A3</t>
  </si>
  <si>
    <t>Parcel A4</t>
  </si>
  <si>
    <t>Podium Square Footage</t>
  </si>
  <si>
    <t>Tower Square Footage</t>
  </si>
  <si>
    <t>Parking Square Footage</t>
  </si>
  <si>
    <t>Gross Square Footages</t>
  </si>
  <si>
    <t>Net Square Footages</t>
  </si>
  <si>
    <t>Resi</t>
  </si>
  <si>
    <t>Efficiency</t>
  </si>
  <si>
    <t>Blend excl. Parking</t>
  </si>
  <si>
    <t>Check</t>
  </si>
  <si>
    <t>Traditional Retail</t>
  </si>
  <si>
    <t>Sports Museum and Community Sports Center</t>
  </si>
  <si>
    <t>Test Kitchen</t>
  </si>
  <si>
    <t>Conventional Office</t>
  </si>
  <si>
    <t>Studio</t>
  </si>
  <si>
    <t>1-BR</t>
  </si>
  <si>
    <t>2-BR</t>
  </si>
  <si>
    <t>3-BR</t>
  </si>
  <si>
    <t>Live-Work</t>
  </si>
  <si>
    <t>MR Resi</t>
  </si>
  <si>
    <t>Structural</t>
  </si>
  <si>
    <t>Surface</t>
  </si>
  <si>
    <t>Logistics Center</t>
  </si>
  <si>
    <t>Original Site</t>
  </si>
  <si>
    <t>Original Site or Developable</t>
  </si>
  <si>
    <t>Developable</t>
  </si>
  <si>
    <t>N/A</t>
  </si>
  <si>
    <t>Units Brought On-Line</t>
  </si>
  <si>
    <t>-</t>
  </si>
  <si>
    <r>
      <t>Project Buildout by Area</t>
    </r>
    <r>
      <rPr>
        <b/>
        <vertAlign val="superscript"/>
        <sz val="12"/>
        <rFont val="Arial"/>
        <family val="2"/>
      </rPr>
      <t>3</t>
    </r>
  </si>
  <si>
    <t xml:space="preserve">3. All buildout figures presented are for net rentable square feet. See the Parcel Breakdown or Assumptions tab for the buildout by gross square footage. </t>
  </si>
  <si>
    <t>Retail and Community Facility</t>
  </si>
  <si>
    <t>Unit Hard Cost</t>
  </si>
  <si>
    <t>Hard Cost PSF</t>
  </si>
  <si>
    <r>
      <t>Unit TDC</t>
    </r>
    <r>
      <rPr>
        <b/>
        <vertAlign val="superscript"/>
        <sz val="12"/>
        <rFont val="Arial"/>
        <family val="2"/>
      </rPr>
      <t>4</t>
    </r>
  </si>
  <si>
    <r>
      <t>TDC</t>
    </r>
    <r>
      <rPr>
        <b/>
        <vertAlign val="superscript"/>
        <sz val="12"/>
        <rFont val="Arial"/>
        <family val="2"/>
      </rPr>
      <t>4</t>
    </r>
  </si>
  <si>
    <t>Structured and Surface Parking</t>
  </si>
  <si>
    <t>Demolition (included in Hard Costs below)</t>
  </si>
  <si>
    <t>Total Debt Service and Origination Fees</t>
  </si>
  <si>
    <t>Perm Loan Debt Service, Repayment, &amp; Origination Fees</t>
  </si>
  <si>
    <t>Loan Funding and Refinancing</t>
  </si>
  <si>
    <t>Blended Perm Loan to Value Ratio (LVR)</t>
  </si>
  <si>
    <t>Construction Phase</t>
  </si>
  <si>
    <t>Permanent Phase</t>
  </si>
  <si>
    <t>Public Subsidies (total)</t>
  </si>
  <si>
    <t>Construction Loan / EB-5 Bridge</t>
  </si>
  <si>
    <t>EB-5 Senior Loan</t>
  </si>
  <si>
    <t>Industrial Revenue Bond Loan</t>
  </si>
  <si>
    <t>Infrastructure Budget - Itemized</t>
  </si>
  <si>
    <t>Source</t>
  </si>
  <si>
    <t>Public Landscape</t>
  </si>
  <si>
    <t>High End</t>
  </si>
  <si>
    <t>Low End</t>
  </si>
  <si>
    <t>Others</t>
  </si>
  <si>
    <t>Street</t>
  </si>
  <si>
    <t>New Streets</t>
  </si>
  <si>
    <t>Existing Road Upgrade</t>
  </si>
  <si>
    <t>High</t>
  </si>
  <si>
    <t>Medium</t>
  </si>
  <si>
    <t>Low</t>
  </si>
  <si>
    <t>New Transit Station</t>
  </si>
  <si>
    <t>Utilities Connection</t>
  </si>
  <si>
    <t xml:space="preserve">Storm Water </t>
  </si>
  <si>
    <t>Cisterns (Pumping Included)</t>
  </si>
  <si>
    <t xml:space="preserve">Storm Water and Gray Water Pipe </t>
  </si>
  <si>
    <t>Brownwater Living Machines</t>
  </si>
  <si>
    <t>Infrastructure Cost - Private</t>
  </si>
  <si>
    <t>Infrastructure Cost - Public</t>
  </si>
  <si>
    <t>Cost Per Unit</t>
  </si>
  <si>
    <t>SF</t>
  </si>
  <si>
    <t>Per site</t>
  </si>
  <si>
    <t>LF</t>
  </si>
  <si>
    <t>Decking Cost Analysis</t>
  </si>
  <si>
    <t>Site</t>
  </si>
  <si>
    <t>A1</t>
  </si>
  <si>
    <t>A2</t>
  </si>
  <si>
    <t>A3</t>
  </si>
  <si>
    <t>A4</t>
  </si>
  <si>
    <t>Size (sqft)</t>
  </si>
  <si>
    <t>Decking cost (per sqft)</t>
  </si>
  <si>
    <t>Pedestrian Foot Bridge</t>
  </si>
  <si>
    <t>Ventilation System</t>
  </si>
  <si>
    <t>Subtotal</t>
  </si>
  <si>
    <t>Structural Reinforcement</t>
  </si>
  <si>
    <t>Reinforced Area</t>
  </si>
  <si>
    <t>Depth of Caission (ft)</t>
  </si>
  <si>
    <t>Width of Caission (ft)</t>
  </si>
  <si>
    <t>Length of Structure Support (lf)</t>
  </si>
  <si>
    <t>Concrete, reinforced deep caission</t>
  </si>
  <si>
    <t xml:space="preserve">Brownwater Pipe </t>
  </si>
  <si>
    <t>Brownwater Pipe</t>
  </si>
  <si>
    <t>Public Realm Assumption</t>
  </si>
  <si>
    <t>Public Landscape &amp; Park</t>
  </si>
  <si>
    <t>Site Area</t>
  </si>
  <si>
    <t>B</t>
  </si>
  <si>
    <t>Roads &amp; Transit Station</t>
  </si>
  <si>
    <t>FT</t>
  </si>
  <si>
    <t>CF</t>
  </si>
  <si>
    <t>Stadium</t>
  </si>
  <si>
    <t>Cincinnati Bengals</t>
  </si>
  <si>
    <t>Cincinnati Reds</t>
  </si>
  <si>
    <t>Parcel #</t>
  </si>
  <si>
    <t>O</t>
  </si>
  <si>
    <t>H</t>
  </si>
  <si>
    <t>J</t>
  </si>
  <si>
    <t>% of total area</t>
  </si>
  <si>
    <t>Lease Start Date</t>
  </si>
  <si>
    <t>Lease Term</t>
  </si>
  <si>
    <t>Outstanding Lease (in 2019)</t>
  </si>
  <si>
    <t>Acquisition Cost</t>
  </si>
  <si>
    <t>Total Lease Payment</t>
  </si>
  <si>
    <t>M</t>
  </si>
  <si>
    <t>N</t>
  </si>
  <si>
    <t>O (Part)</t>
  </si>
  <si>
    <t>Address</t>
  </si>
  <si>
    <t>308 Vine Street Garage</t>
  </si>
  <si>
    <t>48 E 3rd St Garage</t>
  </si>
  <si>
    <t>150E Third Street</t>
  </si>
  <si>
    <t>Lot 1 Parking Garage</t>
  </si>
  <si>
    <t>Parking Space</t>
  </si>
  <si>
    <t>Type</t>
  </si>
  <si>
    <t>Parking Garage</t>
  </si>
  <si>
    <t>Vacancy (%)</t>
  </si>
  <si>
    <t>Operating Margin (%)</t>
  </si>
  <si>
    <t>Annualized NOI</t>
  </si>
  <si>
    <t>Cap rate</t>
  </si>
  <si>
    <t>K</t>
  </si>
  <si>
    <t>311 Elm St</t>
  </si>
  <si>
    <t>Dixie Terminal - South Tower</t>
  </si>
  <si>
    <t>Current Use</t>
  </si>
  <si>
    <t>Class B Office</t>
  </si>
  <si>
    <t>After Year 10</t>
  </si>
  <si>
    <t>Annual Lease Schedule</t>
  </si>
  <si>
    <t>TOTAL Lease Payment</t>
  </si>
  <si>
    <t>Acquisition - Stadium Lease</t>
  </si>
  <si>
    <t>Acquisition Cost - Summary</t>
  </si>
  <si>
    <t>1. Calculated based on overall cost estimate for 7 stations along Oasis Rail Line in Cincinnati.</t>
  </si>
  <si>
    <r>
      <t>New Transit Station</t>
    </r>
    <r>
      <rPr>
        <vertAlign val="superscript"/>
        <sz val="12"/>
        <color rgb="FF000000"/>
        <rFont val="Arial"/>
        <family val="2"/>
      </rPr>
      <t>1</t>
    </r>
  </si>
  <si>
    <t>Blended rent as % of listing</t>
  </si>
  <si>
    <t>Listed parking rate per mth</t>
  </si>
  <si>
    <t>Rentable Area (sqft)</t>
  </si>
  <si>
    <t>Purchase of Class B Parking Garages</t>
  </si>
  <si>
    <t>Purchase of Class B Office Buildings and Air Rights</t>
  </si>
  <si>
    <t>Decking and Additional Support</t>
  </si>
  <si>
    <t>Total Infrastructure and Acquisition Costs</t>
  </si>
  <si>
    <t>Operating Expenses and Replacement Reserves PSF</t>
  </si>
  <si>
    <t>Square Footage for Demolition</t>
  </si>
  <si>
    <t>Hard Cost Total</t>
  </si>
  <si>
    <t>PGSF</t>
  </si>
  <si>
    <t>Blended</t>
  </si>
  <si>
    <t>(-) Parking</t>
  </si>
  <si>
    <t>HTC Equity</t>
  </si>
  <si>
    <t>Historic Tax Credit Equity</t>
  </si>
  <si>
    <t>Low-Income Housing Tax Credit Equity</t>
  </si>
  <si>
    <t>Federal New Markets Tax Credit Equity</t>
  </si>
  <si>
    <t>Ohio State New Markets Tax Credit Equity</t>
  </si>
  <si>
    <t>Federal Low-Income Housing Tax Credit Equity</t>
  </si>
  <si>
    <t>Federal and State New Markets Tax Credit Equity</t>
  </si>
  <si>
    <t>Credit as % of Qualified Rehabilitation Expenditures (QREs)</t>
  </si>
  <si>
    <t>New Markets Tax Credit Equity</t>
  </si>
  <si>
    <t>Low-Income Housing Credit Equity</t>
  </si>
  <si>
    <t>QREs (Gut Rehab Hard Costs, Associated Developer Fee)</t>
  </si>
  <si>
    <t>Opportunity Zone Unlevered Pre-Tax IRR</t>
  </si>
  <si>
    <t>4. TDC includes pro-rated acquisition and infrastructure costs, hard costs, soft costs, financing costs, reserves, and developer fee.</t>
  </si>
  <si>
    <t>Opportunity Zone Fund Equity</t>
  </si>
  <si>
    <t>I - Full Service Hotel</t>
  </si>
  <si>
    <t>II - Limited-Service Hotel</t>
  </si>
  <si>
    <t>Sports Museum and Community Recreation Space</t>
  </si>
  <si>
    <t>Public Benefits</t>
  </si>
  <si>
    <t>Market Rate Equivalent Revenue</t>
  </si>
  <si>
    <t>Charter School Revenue</t>
  </si>
  <si>
    <t>Charter School Public Benefit Value</t>
  </si>
  <si>
    <t>NPV</t>
  </si>
  <si>
    <t>Test Kitchen Public Benefit Value</t>
  </si>
  <si>
    <t>Levered Opportunity Zone Cash Flows</t>
  </si>
  <si>
    <t>NOI less Interest</t>
  </si>
  <si>
    <t>Post-Tax OZ Levered IRR</t>
  </si>
  <si>
    <t>"Gross-Up" Pre-Tax OZ Levered IRR</t>
  </si>
  <si>
    <t>Sale Value and Refi (Return of Equity)</t>
  </si>
  <si>
    <t>Benefit of Income Tax Losses / (Gains)</t>
  </si>
  <si>
    <t>Sale and Refi Proceeds (Return of Equity)</t>
  </si>
  <si>
    <t>Cash Flow (Return on Equity)</t>
  </si>
  <si>
    <t>Post-Tax Non-OZ Levered IRR</t>
  </si>
  <si>
    <t>Post-Tax Levered OZ Cash Flows</t>
  </si>
  <si>
    <t>Post-Tax Levered Non-OZ Cash Flows</t>
  </si>
  <si>
    <t>Combined Pre-Tax Returns</t>
  </si>
  <si>
    <t>Combined Pre-Tax Equivalent Opportunity Zone Returns</t>
  </si>
  <si>
    <t>OZ Unlevered Post-Tax Cash Flows</t>
  </si>
  <si>
    <t>OZ Unlevered Post-Tax IRR</t>
  </si>
  <si>
    <t>Pre-Tax Equivalent IRR</t>
  </si>
  <si>
    <t>Total OZ Unlevered Post-Tax Cash Flows</t>
  </si>
  <si>
    <t>OZ Levered Post-Tax Cash Flows</t>
  </si>
  <si>
    <t>Cost</t>
  </si>
  <si>
    <t>Total Subsidies</t>
  </si>
  <si>
    <t>Exit Cap Rate</t>
  </si>
  <si>
    <t>Uses ($mm)</t>
  </si>
  <si>
    <t>Sources ($mm)</t>
  </si>
  <si>
    <t>Construction</t>
  </si>
  <si>
    <t>Senior Bank Loan</t>
  </si>
  <si>
    <t>Fund Equity</t>
  </si>
  <si>
    <t>Permanent</t>
  </si>
  <si>
    <t>Senior EB-5 Loan</t>
  </si>
  <si>
    <t>Senior IRB Loan</t>
  </si>
  <si>
    <t>Infrastructure</t>
  </si>
  <si>
    <t>Unlevered</t>
  </si>
  <si>
    <t>Levered</t>
  </si>
  <si>
    <t>Opportunity Zone Levered</t>
  </si>
  <si>
    <t>Public Parks</t>
  </si>
  <si>
    <t>Affordable Housing</t>
  </si>
  <si>
    <t>Public Benefit Space</t>
  </si>
  <si>
    <t>Sports Museum / Community Rec Center</t>
  </si>
  <si>
    <t>Affordable Housing Public Benefit Value</t>
  </si>
  <si>
    <t>Affordable Housing Revenue</t>
  </si>
  <si>
    <t>Discounted Rent in Affordable Units</t>
  </si>
  <si>
    <t>Discounted Rent at Charter School</t>
  </si>
  <si>
    <t>Discounted Rent at Test Kitchen</t>
  </si>
  <si>
    <t>Combined</t>
  </si>
  <si>
    <t>Return of Equity and Exposure</t>
  </si>
  <si>
    <t>Phase III Equity Fundings</t>
  </si>
  <si>
    <t>Phase III Return of / on Equity</t>
  </si>
  <si>
    <t>Combined Equity Fundings</t>
  </si>
  <si>
    <t>Combined Return of / on Equity</t>
  </si>
  <si>
    <t>Phase II Equity Fundings</t>
  </si>
  <si>
    <t>Phase II Return of / on Equity</t>
  </si>
  <si>
    <t>Phase I Equity Fundings</t>
  </si>
  <si>
    <t>Phase I Return of / on Equity</t>
  </si>
  <si>
    <t>Total Equity Exposure</t>
  </si>
  <si>
    <t>Project Timeline</t>
  </si>
  <si>
    <t>Financial Performance</t>
  </si>
  <si>
    <t>Development Mix - Residential Mix (Units)</t>
  </si>
  <si>
    <t>Avg Unit Size (sqft）</t>
  </si>
  <si>
    <t>Market Rate</t>
  </si>
  <si>
    <t>Financing Assumption</t>
  </si>
  <si>
    <t>Affordable Housing Units</t>
  </si>
  <si>
    <t>Maximum LTV</t>
  </si>
  <si>
    <t>Maximum Loan by LTV Test</t>
  </si>
  <si>
    <t>Maximum Loan by DSCR Test</t>
  </si>
  <si>
    <t>Development Mix - Commercial (sqft)</t>
  </si>
  <si>
    <t>Light Industrial</t>
  </si>
  <si>
    <t>Development Mix - Others</t>
  </si>
  <si>
    <t>Avg Unit Size (sqft)</t>
  </si>
  <si>
    <t>Hotel (Rooms)</t>
  </si>
  <si>
    <t>Sources &amp; Uses</t>
  </si>
  <si>
    <t>%</t>
  </si>
  <si>
    <t>Community Space (sqft)</t>
  </si>
  <si>
    <t>Predevelopment</t>
  </si>
  <si>
    <t>Sources</t>
  </si>
  <si>
    <t>Uses</t>
  </si>
  <si>
    <t>Parking (space)</t>
  </si>
  <si>
    <t>Market Rent Assumption - Residential</t>
  </si>
  <si>
    <t>Market Rent</t>
  </si>
  <si>
    <t>Rental Growth</t>
  </si>
  <si>
    <t>(%)</t>
  </si>
  <si>
    <t>（%）</t>
  </si>
  <si>
    <t>Market Rent Assumption - Commercial</t>
  </si>
  <si>
    <t>Lease Type</t>
  </si>
  <si>
    <t>Market Rent Assumption - Hotel</t>
  </si>
  <si>
    <t>Market Rent Assumption - Others</t>
  </si>
  <si>
    <t xml:space="preserve">Market Rent </t>
  </si>
  <si>
    <t>Per Unit</t>
  </si>
  <si>
    <t>Total Permanent Loan Amount</t>
  </si>
  <si>
    <t>Construction Loan Amount</t>
  </si>
  <si>
    <t>Projected Annual Debt Service</t>
  </si>
  <si>
    <t>Full Service Hotel</t>
  </si>
  <si>
    <t>Limited Service Hotel</t>
  </si>
  <si>
    <t>Boutique Hotel</t>
  </si>
  <si>
    <t>Full Service</t>
  </si>
  <si>
    <t>Limited Service</t>
  </si>
  <si>
    <t>Boutique</t>
  </si>
  <si>
    <t>III - Boutique Hotel</t>
  </si>
  <si>
    <t>NNN</t>
  </si>
  <si>
    <t>Mod. Gross</t>
  </si>
  <si>
    <t>OpEx Only</t>
  </si>
  <si>
    <t>Team Code: 192019</t>
  </si>
  <si>
    <t>Average Utilization (Draw)</t>
  </si>
  <si>
    <t>Full Build-Out</t>
  </si>
  <si>
    <t>Combined Breakdown by Asset Type</t>
  </si>
  <si>
    <t>Phase I Breakdown by Asset Type</t>
  </si>
  <si>
    <t>Yield-to-Cost after Subsidies</t>
  </si>
  <si>
    <t>IRR</t>
  </si>
  <si>
    <t>Levered IRR without Opportunity Zone</t>
  </si>
  <si>
    <t>Levered IRR with Opportunity Zone</t>
  </si>
  <si>
    <t>Phase II Breakdown by Asset Type</t>
  </si>
  <si>
    <t>Phase III Breakdown by Asset Type</t>
  </si>
  <si>
    <t xml:space="preserve"> </t>
  </si>
  <si>
    <t>Levered IRR after Opportunity Zone Benefit</t>
  </si>
  <si>
    <t>Levered IRR before Opportunity Zone Benefit</t>
  </si>
  <si>
    <t>Opportunity Zone Levered Pre-Tax IRR</t>
  </si>
  <si>
    <t>Rate (30 year am.)</t>
  </si>
  <si>
    <t>Rate (I/O)</t>
  </si>
  <si>
    <t>Senior Permanent Bank Loan</t>
  </si>
  <si>
    <t>Conventional Retail</t>
  </si>
  <si>
    <t>Supply Unchained Logistics Center</t>
  </si>
  <si>
    <t>Affordable Housing Units (50% AMI)</t>
  </si>
  <si>
    <t>LIHTC Affordable Unit Mix (50% AMI)</t>
  </si>
  <si>
    <t>Annual LIHTC Affordable Gross Rent</t>
  </si>
  <si>
    <r>
      <t>Levered IRR after Opportunity Zone Benefits</t>
    </r>
    <r>
      <rPr>
        <b/>
        <vertAlign val="superscript"/>
        <sz val="12"/>
        <rFont val="Arial"/>
        <family val="2"/>
      </rPr>
      <t>1</t>
    </r>
  </si>
  <si>
    <t>Space Absorbed</t>
  </si>
  <si>
    <t>Rooms Absorbed</t>
  </si>
  <si>
    <t>I,II,III</t>
  </si>
  <si>
    <t>A-G, I*</t>
  </si>
  <si>
    <t>* To acquire from the city and county at $1 acquisiton cost each phase</t>
  </si>
  <si>
    <t>Stabilized Mixed-Use Component NOI</t>
  </si>
  <si>
    <t>Estimated Mixed-Use Component Value</t>
  </si>
  <si>
    <t>Estimated Industrial Component Value</t>
  </si>
  <si>
    <t>Stabilized Industrial Component NOI</t>
  </si>
  <si>
    <t>Stabilized Hotel Component NOI</t>
  </si>
  <si>
    <t>Estimated Hotel Component Value</t>
  </si>
  <si>
    <t>Mixed-Use Component</t>
  </si>
  <si>
    <t>Hotel Component</t>
  </si>
  <si>
    <t>Industrial Component</t>
  </si>
  <si>
    <t>Mixed-Use Component NOI</t>
  </si>
  <si>
    <t>1. For simplicity, all refinance proceeds modelled as part of the mixed-income component.</t>
  </si>
  <si>
    <t>Total Hotel Component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</si>
</sst>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_);\(&quot;$&quot;#,##0.0\)"/>
    <numFmt numFmtId="165" formatCode="0&quot; years&quot;"/>
    <numFmt numFmtId="166" formatCode="0.0%"/>
    <numFmt numFmtId="167" formatCode="&quot;L + &quot;0"/>
    <numFmt numFmtId="168" formatCode="0.00&quot;x&quot;"/>
    <numFmt numFmtId="169" formatCode="0.0&quot;x&quot;"/>
    <numFmt numFmtId="170" formatCode="&quot;$&quot;#,##0.000_);[Red]\(&quot;$&quot;#,##0.000\)"/>
    <numFmt numFmtId="171" formatCode="&quot;$&quot;#,##0.0\ &quot;pgsf&quot;"/>
    <numFmt numFmtId="172" formatCode="&quot;$&quot;#,##0.00"/>
    <numFmt numFmtId="173" formatCode="_(* #,##0_);_(* \(#,##0\);_(* &quot;-&quot;??_);_(@_)"/>
    <numFmt numFmtId="174" formatCode="General\ &quot; *&quot;"/>
    <numFmt numFmtId="175" formatCode="&quot;Year &quot;0"/>
    <numFmt numFmtId="176" formatCode="0.0&quot; years&quot;"/>
    <numFmt numFmtId="177" formatCode="&quot;$&quot;#,##0.0_);[Red]\(&quot;$&quot;#,##0.0\)"/>
  </numFmts>
  <fonts count="63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  <font>
      <sz val="12"/>
      <color rgb="FF00B050"/>
      <name val="Arial"/>
      <family val="2"/>
    </font>
    <font>
      <i/>
      <sz val="12"/>
      <color theme="0" tint="-0.14999847407452621"/>
      <name val="Arial"/>
      <family val="2"/>
    </font>
    <font>
      <b/>
      <sz val="12"/>
      <color rgb="FF00B050"/>
      <name val="Arial"/>
      <family val="2"/>
    </font>
    <font>
      <i/>
      <sz val="10"/>
      <name val="Arial"/>
      <family val="2"/>
    </font>
    <font>
      <i/>
      <sz val="12"/>
      <color theme="0" tint="-4.9989318521683403E-2"/>
      <name val="Arial"/>
      <family val="2"/>
    </font>
    <font>
      <b/>
      <i/>
      <sz val="12"/>
      <name val="Arial"/>
      <family val="2"/>
    </font>
    <font>
      <b/>
      <sz val="12"/>
      <color theme="3"/>
      <name val="Arial"/>
      <family val="2"/>
    </font>
    <font>
      <sz val="12"/>
      <color theme="3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/>
      <sz val="12"/>
      <color theme="1"/>
      <name val="Arial"/>
      <family val="2"/>
    </font>
    <font>
      <u/>
      <sz val="12"/>
      <color rgb="FF0000FF"/>
      <name val="Arial"/>
      <family val="2"/>
    </font>
    <font>
      <vertAlign val="superscript"/>
      <sz val="12"/>
      <name val="Arial"/>
      <family val="2"/>
    </font>
    <font>
      <b/>
      <i/>
      <sz val="12"/>
      <color theme="0"/>
      <name val="Arial"/>
      <family val="2"/>
    </font>
    <font>
      <i/>
      <sz val="12"/>
      <color theme="0"/>
      <name val="Arial"/>
      <family val="2"/>
    </font>
    <font>
      <i/>
      <sz val="12"/>
      <color rgb="FF0000FF"/>
      <name val="Arial"/>
      <family val="2"/>
    </font>
    <font>
      <vertAlign val="superscript"/>
      <sz val="12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20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name val="Arial"/>
      <family val="2"/>
    </font>
    <font>
      <b/>
      <i/>
      <sz val="12"/>
      <color rgb="FFFF0000"/>
      <name val="Arial"/>
      <family val="2"/>
    </font>
    <font>
      <i/>
      <sz val="12"/>
      <color theme="0" tint="-0.34998626667073579"/>
      <name val="Arial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71BC9"/>
      <name val="Calibri"/>
      <family val="2"/>
      <scheme val="minor"/>
    </font>
    <font>
      <sz val="12"/>
      <color rgb="FF000000"/>
      <name val="Arial"/>
      <family val="2"/>
    </font>
    <font>
      <sz val="12"/>
      <color rgb="FF271BC9"/>
      <name val="Arial"/>
      <family val="2"/>
    </font>
    <font>
      <u/>
      <sz val="12"/>
      <color rgb="FF000000"/>
      <name val="Arial"/>
      <family val="2"/>
    </font>
    <font>
      <u/>
      <sz val="10"/>
      <color theme="11"/>
      <name val="Arial"/>
      <family val="2"/>
    </font>
    <font>
      <vertAlign val="superscript"/>
      <sz val="12"/>
      <color rgb="FF000000"/>
      <name val="Arial"/>
      <family val="2"/>
    </font>
    <font>
      <i/>
      <sz val="12"/>
      <color rgb="FF00B05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i/>
      <u/>
      <sz val="12"/>
      <name val="Arial"/>
      <family val="2"/>
    </font>
    <font>
      <b/>
      <i/>
      <sz val="11"/>
      <color theme="1"/>
      <name val="Arial"/>
      <family val="2"/>
    </font>
    <font>
      <b/>
      <sz val="12"/>
      <color rgb="FFFFFFFF"/>
      <name val="Arial"/>
      <family val="2"/>
    </font>
    <font>
      <b/>
      <sz val="16"/>
      <color theme="3"/>
      <name val="Arial"/>
      <family val="2"/>
    </font>
    <font>
      <sz val="10"/>
      <name val="Montserrat"/>
      <family val="3"/>
    </font>
    <font>
      <b/>
      <sz val="10"/>
      <color theme="0"/>
      <name val="Montserrat"/>
      <family val="3"/>
    </font>
    <font>
      <sz val="10"/>
      <color theme="0"/>
      <name val="Montserrat"/>
      <family val="3"/>
    </font>
    <font>
      <sz val="10"/>
      <color theme="1"/>
      <name val="Montserrat"/>
      <family val="3"/>
    </font>
    <font>
      <b/>
      <sz val="10"/>
      <name val="Montserrat"/>
      <family val="3"/>
    </font>
    <font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6F9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76F9D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87153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rgb="FF376F9D"/>
      </top>
      <bottom style="thin">
        <color rgb="FF376F9D"/>
      </bottom>
      <diagonal/>
    </border>
    <border>
      <left/>
      <right/>
      <top style="thin">
        <color rgb="FF376F9D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/>
      <top/>
      <bottom style="medium">
        <color theme="3"/>
      </bottom>
      <diagonal/>
    </border>
  </borders>
  <cellStyleXfs count="5">
    <xf numFmtId="0" fontId="0" fillId="0" borderId="0"/>
    <xf numFmtId="0" fontId="2" fillId="0" borderId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830">
    <xf numFmtId="0" fontId="0" fillId="0" borderId="0" xfId="0"/>
    <xf numFmtId="0" fontId="2" fillId="0" borderId="0" xfId="0" applyFont="1"/>
    <xf numFmtId="9" fontId="0" fillId="0" borderId="0" xfId="0" applyNumberFormat="1"/>
    <xf numFmtId="8" fontId="2" fillId="0" borderId="0" xfId="0" applyNumberFormat="1" applyFont="1" applyAlignment="1">
      <alignment vertical="center"/>
    </xf>
    <xf numFmtId="8" fontId="0" fillId="0" borderId="0" xfId="0" applyNumberForma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3" fillId="4" borderId="0" xfId="0" applyFont="1" applyFill="1" applyBorder="1"/>
    <xf numFmtId="0" fontId="4" fillId="4" borderId="0" xfId="0" applyFont="1" applyFill="1" applyBorder="1"/>
    <xf numFmtId="0" fontId="5" fillId="0" borderId="0" xfId="0" applyFont="1"/>
    <xf numFmtId="5" fontId="5" fillId="0" borderId="0" xfId="0" applyNumberFormat="1" applyFont="1"/>
    <xf numFmtId="5" fontId="6" fillId="0" borderId="0" xfId="0" applyNumberFormat="1" applyFont="1"/>
    <xf numFmtId="0" fontId="8" fillId="3" borderId="8" xfId="0" applyFont="1" applyFill="1" applyBorder="1"/>
    <xf numFmtId="5" fontId="8" fillId="3" borderId="8" xfId="0" applyNumberFormat="1" applyFont="1" applyFill="1" applyBorder="1"/>
    <xf numFmtId="0" fontId="7" fillId="0" borderId="0" xfId="0" applyFont="1"/>
    <xf numFmtId="0" fontId="3" fillId="4" borderId="0" xfId="0" applyFont="1" applyFill="1"/>
    <xf numFmtId="0" fontId="4" fillId="4" borderId="0" xfId="0" applyFont="1" applyFill="1"/>
    <xf numFmtId="5" fontId="10" fillId="0" borderId="0" xfId="0" applyNumberFormat="1" applyFont="1"/>
    <xf numFmtId="0" fontId="6" fillId="0" borderId="0" xfId="0" applyFont="1"/>
    <xf numFmtId="37" fontId="6" fillId="0" borderId="0" xfId="0" applyNumberFormat="1" applyFont="1"/>
    <xf numFmtId="37" fontId="10" fillId="0" borderId="0" xfId="0" applyNumberFormat="1" applyFont="1"/>
    <xf numFmtId="5" fontId="11" fillId="0" borderId="0" xfId="0" applyNumberFormat="1" applyFont="1"/>
    <xf numFmtId="9" fontId="10" fillId="0" borderId="0" xfId="0" applyNumberFormat="1" applyFont="1"/>
    <xf numFmtId="0" fontId="3" fillId="4" borderId="0" xfId="0" applyFont="1" applyFill="1" applyAlignment="1">
      <alignment horizontal="center"/>
    </xf>
    <xf numFmtId="37" fontId="8" fillId="0" borderId="0" xfId="0" applyNumberFormat="1" applyFont="1"/>
    <xf numFmtId="9" fontId="9" fillId="0" borderId="0" xfId="0" applyNumberFormat="1" applyFont="1"/>
    <xf numFmtId="5" fontId="12" fillId="0" borderId="0" xfId="0" applyNumberFormat="1" applyFont="1"/>
    <xf numFmtId="5" fontId="8" fillId="0" borderId="0" xfId="0" applyNumberFormat="1" applyFont="1"/>
    <xf numFmtId="8" fontId="6" fillId="0" borderId="0" xfId="0" applyNumberFormat="1" applyFont="1"/>
    <xf numFmtId="5" fontId="8" fillId="3" borderId="0" xfId="0" applyNumberFormat="1" applyFont="1" applyFill="1"/>
    <xf numFmtId="37" fontId="13" fillId="0" borderId="0" xfId="0" applyNumberFormat="1" applyFont="1"/>
    <xf numFmtId="0" fontId="3" fillId="4" borderId="0" xfId="0" applyFont="1" applyFill="1" applyBorder="1"/>
    <xf numFmtId="0" fontId="4" fillId="4" borderId="0" xfId="0" applyFont="1" applyFill="1" applyBorder="1"/>
    <xf numFmtId="0" fontId="5" fillId="0" borderId="0" xfId="0" applyFont="1"/>
    <xf numFmtId="5" fontId="6" fillId="0" borderId="0" xfId="0" applyNumberFormat="1" applyFont="1"/>
    <xf numFmtId="0" fontId="8" fillId="3" borderId="8" xfId="0" applyFont="1" applyFill="1" applyBorder="1"/>
    <xf numFmtId="5" fontId="8" fillId="3" borderId="8" xfId="0" applyNumberFormat="1" applyFont="1" applyFill="1" applyBorder="1"/>
    <xf numFmtId="0" fontId="3" fillId="4" borderId="0" xfId="0" applyFont="1" applyFill="1"/>
    <xf numFmtId="0" fontId="4" fillId="4" borderId="0" xfId="0" applyFont="1" applyFill="1"/>
    <xf numFmtId="5" fontId="6" fillId="3" borderId="0" xfId="0" applyNumberFormat="1" applyFont="1" applyFill="1"/>
    <xf numFmtId="5" fontId="10" fillId="0" borderId="0" xfId="0" applyNumberFormat="1" applyFont="1"/>
    <xf numFmtId="0" fontId="6" fillId="0" borderId="0" xfId="0" applyFont="1"/>
    <xf numFmtId="37" fontId="6" fillId="0" borderId="0" xfId="0" applyNumberFormat="1" applyFont="1"/>
    <xf numFmtId="5" fontId="11" fillId="0" borderId="0" xfId="0" applyNumberFormat="1" applyFont="1"/>
    <xf numFmtId="9" fontId="10" fillId="0" borderId="0" xfId="0" applyNumberFormat="1" applyFont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9" fontId="9" fillId="0" borderId="0" xfId="0" applyNumberFormat="1" applyFont="1"/>
    <xf numFmtId="5" fontId="8" fillId="0" borderId="0" xfId="0" applyNumberFormat="1" applyFont="1"/>
    <xf numFmtId="164" fontId="6" fillId="0" borderId="0" xfId="0" applyNumberFormat="1" applyFont="1"/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Border="1" applyAlignment="1">
      <alignment horizontal="center" vertical="center"/>
    </xf>
    <xf numFmtId="37" fontId="1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37" fontId="12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5" fontId="12" fillId="0" borderId="0" xfId="0" applyNumberFormat="1" applyFont="1" applyBorder="1" applyAlignment="1">
      <alignment horizontal="center" vertical="center"/>
    </xf>
    <xf numFmtId="5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165" fontId="12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5" fontId="8" fillId="0" borderId="3" xfId="0" applyNumberFormat="1" applyFont="1" applyBorder="1" applyAlignment="1">
      <alignment horizontal="center" vertical="center"/>
    </xf>
    <xf numFmtId="5" fontId="6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0" fontId="6" fillId="0" borderId="5" xfId="0" applyFont="1" applyBorder="1" applyAlignment="1">
      <alignment vertical="center"/>
    </xf>
    <xf numFmtId="37" fontId="8" fillId="0" borderId="5" xfId="0" applyNumberFormat="1" applyFont="1" applyBorder="1" applyAlignment="1">
      <alignment horizontal="center" vertical="center"/>
    </xf>
    <xf numFmtId="37" fontId="6" fillId="0" borderId="5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vertical="center"/>
    </xf>
    <xf numFmtId="5" fontId="8" fillId="0" borderId="1" xfId="0" applyNumberFormat="1" applyFont="1" applyBorder="1" applyAlignment="1">
      <alignment horizontal="center" vertical="center"/>
    </xf>
    <xf numFmtId="5" fontId="6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0" fontId="12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167" fontId="10" fillId="0" borderId="0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8" fontId="10" fillId="0" borderId="0" xfId="0" applyNumberFormat="1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6" fontId="10" fillId="0" borderId="0" xfId="0" applyNumberFormat="1" applyFont="1" applyBorder="1" applyAlignment="1">
      <alignment horizontal="center" vertical="center"/>
    </xf>
    <xf numFmtId="6" fontId="6" fillId="0" borderId="0" xfId="0" applyNumberFormat="1" applyFont="1" applyBorder="1" applyAlignment="1">
      <alignment horizontal="center" vertical="center"/>
    </xf>
    <xf numFmtId="8" fontId="10" fillId="0" borderId="0" xfId="0" applyNumberFormat="1" applyFont="1" applyBorder="1" applyAlignment="1">
      <alignment horizontal="center" vertical="center"/>
    </xf>
    <xf numFmtId="164" fontId="7" fillId="0" borderId="0" xfId="0" applyNumberFormat="1" applyFont="1"/>
    <xf numFmtId="164" fontId="7" fillId="0" borderId="3" xfId="0" applyNumberFormat="1" applyFont="1" applyBorder="1"/>
    <xf numFmtId="166" fontId="10" fillId="0" borderId="0" xfId="0" applyNumberFormat="1" applyFont="1"/>
    <xf numFmtId="9" fontId="6" fillId="0" borderId="0" xfId="0" applyNumberFormat="1" applyFont="1"/>
    <xf numFmtId="165" fontId="10" fillId="0" borderId="0" xfId="0" applyNumberFormat="1" applyFont="1"/>
    <xf numFmtId="0" fontId="14" fillId="0" borderId="0" xfId="0" applyFont="1"/>
    <xf numFmtId="0" fontId="8" fillId="0" borderId="7" xfId="0" applyFont="1" applyBorder="1" applyAlignment="1">
      <alignment horizontal="center" vertical="center" wrapText="1"/>
    </xf>
    <xf numFmtId="164" fontId="10" fillId="0" borderId="0" xfId="0" applyNumberFormat="1" applyFont="1"/>
    <xf numFmtId="165" fontId="13" fillId="0" borderId="0" xfId="0" applyNumberFormat="1" applyFont="1"/>
    <xf numFmtId="168" fontId="13" fillId="0" borderId="0" xfId="0" applyNumberFormat="1" applyFont="1"/>
    <xf numFmtId="166" fontId="13" fillId="0" borderId="0" xfId="0" applyNumberFormat="1" applyFont="1"/>
    <xf numFmtId="166" fontId="6" fillId="0" borderId="0" xfId="0" applyNumberFormat="1" applyFont="1"/>
    <xf numFmtId="0" fontId="5" fillId="0" borderId="0" xfId="0" applyNumberFormat="1" applyFont="1"/>
    <xf numFmtId="5" fontId="13" fillId="3" borderId="0" xfId="0" applyNumberFormat="1" applyFont="1" applyFill="1"/>
    <xf numFmtId="0" fontId="8" fillId="0" borderId="0" xfId="0" applyFont="1"/>
    <xf numFmtId="0" fontId="8" fillId="0" borderId="5" xfId="0" applyFont="1" applyBorder="1"/>
    <xf numFmtId="5" fontId="8" fillId="0" borderId="5" xfId="0" applyNumberFormat="1" applyFont="1" applyBorder="1"/>
    <xf numFmtId="0" fontId="8" fillId="0" borderId="1" xfId="0" applyFont="1" applyBorder="1"/>
    <xf numFmtId="5" fontId="8" fillId="0" borderId="1" xfId="0" applyNumberFormat="1" applyFont="1" applyBorder="1"/>
    <xf numFmtId="14" fontId="5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2" fillId="0" borderId="7" xfId="0" applyFont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5" fontId="6" fillId="3" borderId="8" xfId="0" applyNumberFormat="1" applyFont="1" applyFill="1" applyBorder="1"/>
    <xf numFmtId="5" fontId="8" fillId="0" borderId="0" xfId="0" applyNumberFormat="1" applyFont="1" applyBorder="1" applyAlignment="1">
      <alignment horizontal="center" vertical="center"/>
    </xf>
    <xf numFmtId="37" fontId="8" fillId="0" borderId="3" xfId="0" applyNumberFormat="1" applyFont="1" applyBorder="1" applyAlignment="1">
      <alignment horizontal="center" vertical="center"/>
    </xf>
    <xf numFmtId="37" fontId="6" fillId="0" borderId="3" xfId="0" applyNumberFormat="1" applyFont="1" applyBorder="1" applyAlignment="1">
      <alignment horizontal="center" vertical="center"/>
    </xf>
    <xf numFmtId="0" fontId="11" fillId="0" borderId="0" xfId="0" applyFont="1"/>
    <xf numFmtId="166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14" fontId="3" fillId="4" borderId="0" xfId="0" applyNumberFormat="1" applyFont="1" applyFill="1" applyAlignment="1">
      <alignment horizontal="center"/>
    </xf>
    <xf numFmtId="0" fontId="6" fillId="3" borderId="8" xfId="0" applyFont="1" applyFill="1" applyBorder="1"/>
    <xf numFmtId="0" fontId="8" fillId="5" borderId="8" xfId="0" applyFont="1" applyFill="1" applyBorder="1"/>
    <xf numFmtId="5" fontId="8" fillId="5" borderId="8" xfId="0" applyNumberFormat="1" applyFont="1" applyFill="1" applyBorder="1"/>
    <xf numFmtId="0" fontId="17" fillId="0" borderId="0" xfId="0" applyFont="1"/>
    <xf numFmtId="0" fontId="8" fillId="5" borderId="0" xfId="0" applyFont="1" applyFill="1" applyBorder="1"/>
    <xf numFmtId="5" fontId="8" fillId="5" borderId="0" xfId="0" applyNumberFormat="1" applyFont="1" applyFill="1" applyBorder="1"/>
    <xf numFmtId="0" fontId="18" fillId="5" borderId="0" xfId="0" applyFont="1" applyFill="1" applyBorder="1"/>
    <xf numFmtId="9" fontId="8" fillId="5" borderId="0" xfId="0" applyNumberFormat="1" applyFont="1" applyFill="1" applyBorder="1"/>
    <xf numFmtId="9" fontId="18" fillId="5" borderId="0" xfId="0" applyNumberFormat="1" applyFont="1" applyFill="1" applyBorder="1"/>
    <xf numFmtId="0" fontId="9" fillId="0" borderId="0" xfId="0" applyFont="1"/>
    <xf numFmtId="37" fontId="9" fillId="0" borderId="0" xfId="0" applyNumberFormat="1" applyFont="1"/>
    <xf numFmtId="0" fontId="19" fillId="3" borderId="0" xfId="0" applyFont="1" applyFill="1"/>
    <xf numFmtId="0" fontId="20" fillId="3" borderId="0" xfId="0" applyFont="1" applyFill="1"/>
    <xf numFmtId="14" fontId="19" fillId="3" borderId="0" xfId="0" applyNumberFormat="1" applyFont="1" applyFill="1" applyAlignment="1">
      <alignment horizontal="center"/>
    </xf>
    <xf numFmtId="37" fontId="6" fillId="3" borderId="0" xfId="0" applyNumberFormat="1" applyFont="1" applyFill="1"/>
    <xf numFmtId="9" fontId="8" fillId="0" borderId="0" xfId="0" applyNumberFormat="1" applyFont="1"/>
    <xf numFmtId="9" fontId="13" fillId="0" borderId="0" xfId="0" applyNumberFormat="1" applyFont="1"/>
    <xf numFmtId="10" fontId="13" fillId="0" borderId="0" xfId="0" applyNumberFormat="1" applyFo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6" fillId="0" borderId="0" xfId="0" applyFont="1" applyBorder="1"/>
    <xf numFmtId="0" fontId="23" fillId="0" borderId="1" xfId="0" applyFont="1" applyBorder="1"/>
    <xf numFmtId="5" fontId="24" fillId="0" borderId="1" xfId="0" applyNumberFormat="1" applyFont="1" applyBorder="1"/>
    <xf numFmtId="5" fontId="21" fillId="0" borderId="1" xfId="0" applyNumberFormat="1" applyFont="1" applyBorder="1"/>
    <xf numFmtId="0" fontId="11" fillId="0" borderId="1" xfId="0" applyFont="1" applyBorder="1"/>
    <xf numFmtId="5" fontId="8" fillId="0" borderId="1" xfId="0" applyNumberFormat="1" applyFont="1" applyBorder="1" applyAlignment="1">
      <alignment horizontal="center"/>
    </xf>
    <xf numFmtId="165" fontId="13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5" fontId="8" fillId="0" borderId="0" xfId="0" applyNumberFormat="1" applyFont="1" applyBorder="1"/>
    <xf numFmtId="0" fontId="6" fillId="5" borderId="8" xfId="0" applyFont="1" applyFill="1" applyBorder="1"/>
    <xf numFmtId="5" fontId="6" fillId="5" borderId="8" xfId="0" applyNumberFormat="1" applyFont="1" applyFill="1" applyBorder="1"/>
    <xf numFmtId="9" fontId="6" fillId="5" borderId="8" xfId="0" applyNumberFormat="1" applyFont="1" applyFill="1" applyBorder="1"/>
    <xf numFmtId="0" fontId="5" fillId="0" borderId="0" xfId="0" applyFont="1" applyAlignment="1">
      <alignment horizontal="left" indent="1"/>
    </xf>
    <xf numFmtId="10" fontId="10" fillId="0" borderId="0" xfId="0" applyNumberFormat="1" applyFont="1"/>
    <xf numFmtId="5" fontId="10" fillId="3" borderId="0" xfId="0" applyNumberFormat="1" applyFont="1" applyFill="1"/>
    <xf numFmtId="0" fontId="4" fillId="4" borderId="0" xfId="0" applyFont="1" applyFill="1" applyBorder="1" applyAlignment="1">
      <alignment horizontal="center"/>
    </xf>
    <xf numFmtId="0" fontId="6" fillId="5" borderId="5" xfId="0" applyFont="1" applyFill="1" applyBorder="1" applyAlignment="1">
      <alignment vertical="center"/>
    </xf>
    <xf numFmtId="5" fontId="6" fillId="5" borderId="5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5" fontId="6" fillId="5" borderId="0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166" fontId="6" fillId="5" borderId="5" xfId="0" applyNumberFormat="1" applyFont="1" applyFill="1" applyBorder="1" applyAlignment="1">
      <alignment vertical="center"/>
    </xf>
    <xf numFmtId="166" fontId="6" fillId="5" borderId="1" xfId="0" applyNumberFormat="1" applyFont="1" applyFill="1" applyBorder="1" applyAlignment="1">
      <alignment vertical="center"/>
    </xf>
    <xf numFmtId="168" fontId="9" fillId="0" borderId="0" xfId="0" applyNumberFormat="1" applyFont="1"/>
    <xf numFmtId="5" fontId="28" fillId="0" borderId="0" xfId="0" applyNumberFormat="1" applyFont="1"/>
    <xf numFmtId="5" fontId="18" fillId="0" borderId="0" xfId="0" applyNumberFormat="1" applyFont="1"/>
    <xf numFmtId="5" fontId="9" fillId="0" borderId="0" xfId="0" applyNumberFormat="1" applyFont="1"/>
    <xf numFmtId="9" fontId="28" fillId="0" borderId="0" xfId="0" applyNumberFormat="1" applyFont="1"/>
    <xf numFmtId="0" fontId="18" fillId="3" borderId="8" xfId="0" applyFont="1" applyFill="1" applyBorder="1"/>
    <xf numFmtId="5" fontId="18" fillId="3" borderId="8" xfId="0" applyNumberFormat="1" applyFont="1" applyFill="1" applyBorder="1"/>
    <xf numFmtId="0" fontId="26" fillId="6" borderId="0" xfId="0" applyFont="1" applyFill="1"/>
    <xf numFmtId="0" fontId="27" fillId="6" borderId="0" xfId="0" applyFont="1" applyFill="1"/>
    <xf numFmtId="0" fontId="26" fillId="6" borderId="0" xfId="0" applyFont="1" applyFill="1" applyAlignment="1">
      <alignment horizontal="center"/>
    </xf>
    <xf numFmtId="0" fontId="8" fillId="5" borderId="5" xfId="0" applyFont="1" applyFill="1" applyBorder="1"/>
    <xf numFmtId="166" fontId="8" fillId="5" borderId="5" xfId="0" applyNumberFormat="1" applyFont="1" applyFill="1" applyBorder="1"/>
    <xf numFmtId="0" fontId="6" fillId="5" borderId="0" xfId="0" applyFont="1" applyFill="1" applyBorder="1"/>
    <xf numFmtId="0" fontId="6" fillId="5" borderId="1" xfId="0" applyFont="1" applyFill="1" applyBorder="1"/>
    <xf numFmtId="0" fontId="8" fillId="5" borderId="1" xfId="0" applyFont="1" applyFill="1" applyBorder="1"/>
    <xf numFmtId="169" fontId="8" fillId="5" borderId="1" xfId="0" applyNumberFormat="1" applyFont="1" applyFill="1" applyBorder="1"/>
    <xf numFmtId="6" fontId="6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5" fontId="13" fillId="0" borderId="0" xfId="0" applyNumberFormat="1" applyFont="1"/>
    <xf numFmtId="0" fontId="3" fillId="4" borderId="0" xfId="0" applyFont="1" applyFill="1" applyAlignment="1">
      <alignment horizontal="right"/>
    </xf>
    <xf numFmtId="5" fontId="12" fillId="3" borderId="0" xfId="0" applyNumberFormat="1" applyFont="1" applyFill="1"/>
    <xf numFmtId="10" fontId="5" fillId="0" borderId="0" xfId="0" applyNumberFormat="1" applyFont="1"/>
    <xf numFmtId="170" fontId="10" fillId="0" borderId="0" xfId="0" applyNumberFormat="1" applyFont="1"/>
    <xf numFmtId="0" fontId="32" fillId="0" borderId="0" xfId="0" applyFont="1"/>
    <xf numFmtId="168" fontId="6" fillId="0" borderId="0" xfId="0" applyNumberFormat="1" applyFont="1" applyBorder="1" applyAlignment="1">
      <alignment horizontal="center" vertical="center"/>
    </xf>
    <xf numFmtId="0" fontId="16" fillId="0" borderId="0" xfId="0" applyFont="1" applyAlignment="1"/>
    <xf numFmtId="169" fontId="6" fillId="5" borderId="1" xfId="0" applyNumberFormat="1" applyFont="1" applyFill="1" applyBorder="1" applyAlignment="1">
      <alignment vertical="center"/>
    </xf>
    <xf numFmtId="0" fontId="6" fillId="3" borderId="0" xfId="0" applyFont="1" applyFill="1"/>
    <xf numFmtId="0" fontId="16" fillId="0" borderId="0" xfId="0" applyFont="1"/>
    <xf numFmtId="37" fontId="10" fillId="3" borderId="0" xfId="0" applyNumberFormat="1" applyFont="1" applyFill="1"/>
    <xf numFmtId="0" fontId="30" fillId="0" borderId="0" xfId="0" applyFont="1" applyAlignment="1"/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4" borderId="0" xfId="0" applyFont="1" applyFill="1" applyAlignment="1">
      <alignment horizontal="center" wrapText="1"/>
    </xf>
    <xf numFmtId="0" fontId="11" fillId="5" borderId="5" xfId="0" applyFont="1" applyFill="1" applyBorder="1"/>
    <xf numFmtId="164" fontId="6" fillId="5" borderId="5" xfId="0" applyNumberFormat="1" applyFont="1" applyFill="1" applyBorder="1"/>
    <xf numFmtId="0" fontId="11" fillId="5" borderId="0" xfId="0" applyFont="1" applyFill="1" applyBorder="1"/>
    <xf numFmtId="5" fontId="6" fillId="5" borderId="0" xfId="0" applyNumberFormat="1" applyFont="1" applyFill="1" applyBorder="1"/>
    <xf numFmtId="0" fontId="11" fillId="5" borderId="1" xfId="0" applyFont="1" applyFill="1" applyBorder="1"/>
    <xf numFmtId="5" fontId="6" fillId="5" borderId="1" xfId="0" applyNumberFormat="1" applyFont="1" applyFill="1" applyBorder="1"/>
    <xf numFmtId="5" fontId="10" fillId="0" borderId="0" xfId="0" applyNumberFormat="1" applyFont="1" applyBorder="1" applyAlignment="1">
      <alignment horizontal="center" vertical="center"/>
    </xf>
    <xf numFmtId="166" fontId="6" fillId="5" borderId="0" xfId="0" applyNumberFormat="1" applyFont="1" applyFill="1" applyBorder="1" applyAlignment="1">
      <alignment vertical="center"/>
    </xf>
    <xf numFmtId="5" fontId="6" fillId="0" borderId="0" xfId="0" applyNumberFormat="1" applyFont="1" applyAlignment="1">
      <alignment vertical="center"/>
    </xf>
    <xf numFmtId="37" fontId="6" fillId="0" borderId="0" xfId="0" applyNumberFormat="1" applyFont="1" applyAlignment="1">
      <alignment vertical="center"/>
    </xf>
    <xf numFmtId="5" fontId="8" fillId="5" borderId="1" xfId="0" applyNumberFormat="1" applyFont="1" applyFill="1" applyBorder="1"/>
    <xf numFmtId="0" fontId="8" fillId="5" borderId="3" xfId="0" applyFont="1" applyFill="1" applyBorder="1"/>
    <xf numFmtId="166" fontId="8" fillId="5" borderId="3" xfId="0" applyNumberFormat="1" applyFont="1" applyFill="1" applyBorder="1"/>
    <xf numFmtId="166" fontId="8" fillId="5" borderId="1" xfId="0" applyNumberFormat="1" applyFont="1" applyFill="1" applyBorder="1"/>
    <xf numFmtId="0" fontId="9" fillId="0" borderId="0" xfId="0" applyNumberFormat="1" applyFont="1" applyAlignment="1">
      <alignment horizontal="center"/>
    </xf>
    <xf numFmtId="9" fontId="6" fillId="0" borderId="0" xfId="0" applyNumberFormat="1" applyFont="1" applyAlignment="1">
      <alignment vertical="center"/>
    </xf>
    <xf numFmtId="0" fontId="6" fillId="0" borderId="5" xfId="1" applyFont="1" applyBorder="1"/>
    <xf numFmtId="0" fontId="6" fillId="0" borderId="0" xfId="1" applyFont="1"/>
    <xf numFmtId="0" fontId="6" fillId="0" borderId="1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6" fillId="0" borderId="1" xfId="1" applyFont="1" applyFill="1" applyBorder="1"/>
    <xf numFmtId="0" fontId="8" fillId="0" borderId="0" xfId="1" applyFont="1" applyBorder="1" applyAlignment="1">
      <alignment horizontal="left"/>
    </xf>
    <xf numFmtId="0" fontId="6" fillId="0" borderId="0" xfId="1" applyFont="1" applyFill="1" applyBorder="1"/>
    <xf numFmtId="0" fontId="6" fillId="0" borderId="0" xfId="1" applyFont="1" applyFill="1" applyBorder="1" applyAlignment="1"/>
    <xf numFmtId="0" fontId="8" fillId="2" borderId="4" xfId="1" applyFont="1" applyFill="1" applyBorder="1" applyAlignment="1">
      <alignment horizontal="left"/>
    </xf>
    <xf numFmtId="0" fontId="8" fillId="2" borderId="3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center"/>
    </xf>
    <xf numFmtId="0" fontId="6" fillId="2" borderId="3" xfId="1" applyFont="1" applyFill="1" applyBorder="1"/>
    <xf numFmtId="0" fontId="6" fillId="2" borderId="3" xfId="1" applyFont="1" applyFill="1" applyBorder="1" applyAlignment="1"/>
    <xf numFmtId="0" fontId="8" fillId="2" borderId="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center"/>
    </xf>
    <xf numFmtId="0" fontId="6" fillId="2" borderId="6" xfId="1" applyFont="1" applyFill="1" applyBorder="1"/>
    <xf numFmtId="0" fontId="6" fillId="2" borderId="0" xfId="1" applyFont="1" applyFill="1" applyBorder="1"/>
    <xf numFmtId="0" fontId="6" fillId="2" borderId="2" xfId="1" applyFont="1" applyFill="1" applyBorder="1" applyAlignment="1"/>
    <xf numFmtId="0" fontId="8" fillId="0" borderId="1" xfId="1" applyFont="1" applyBorder="1" applyAlignment="1">
      <alignment horizontal="right"/>
    </xf>
    <xf numFmtId="0" fontId="8" fillId="0" borderId="1" xfId="1" applyFont="1" applyBorder="1"/>
    <xf numFmtId="0" fontId="6" fillId="0" borderId="5" xfId="1" applyFont="1" applyFill="1" applyBorder="1" applyAlignment="1"/>
    <xf numFmtId="0" fontId="6" fillId="0" borderId="0" xfId="1" applyFont="1" applyAlignment="1">
      <alignment horizontal="center"/>
    </xf>
    <xf numFmtId="0" fontId="8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wrapText="1"/>
    </xf>
    <xf numFmtId="0" fontId="6" fillId="0" borderId="1" xfId="1" applyFont="1" applyBorder="1" applyAlignment="1">
      <alignment horizontal="center" wrapText="1"/>
    </xf>
    <xf numFmtId="0" fontId="6" fillId="0" borderId="0" xfId="1" applyFont="1" applyBorder="1"/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6" fillId="0" borderId="0" xfId="1" applyFont="1" applyBorder="1" applyAlignment="1">
      <alignment horizontal="right"/>
    </xf>
    <xf numFmtId="37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/>
    <xf numFmtId="0" fontId="6" fillId="0" borderId="1" xfId="1" applyFont="1" applyFill="1" applyBorder="1" applyAlignment="1"/>
    <xf numFmtId="0" fontId="8" fillId="0" borderId="5" xfId="1" applyFont="1" applyBorder="1"/>
    <xf numFmtId="0" fontId="6" fillId="0" borderId="5" xfId="1" applyFont="1" applyFill="1" applyBorder="1"/>
    <xf numFmtId="0" fontId="8" fillId="0" borderId="0" xfId="1" applyFont="1" applyBorder="1"/>
    <xf numFmtId="5" fontId="6" fillId="0" borderId="0" xfId="1" applyNumberFormat="1" applyFont="1" applyBorder="1" applyAlignment="1">
      <alignment horizontal="center"/>
    </xf>
    <xf numFmtId="0" fontId="6" fillId="5" borderId="3" xfId="1" applyFont="1" applyFill="1" applyBorder="1"/>
    <xf numFmtId="0" fontId="8" fillId="0" borderId="0" xfId="1" applyFont="1" applyBorder="1" applyAlignment="1">
      <alignment horizontal="right"/>
    </xf>
    <xf numFmtId="0" fontId="6" fillId="0" borderId="0" xfId="1" applyFont="1" applyBorder="1" applyAlignment="1">
      <alignment horizontal="left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7" borderId="5" xfId="1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/>
    </xf>
    <xf numFmtId="0" fontId="6" fillId="7" borderId="0" xfId="1" applyFont="1" applyFill="1" applyBorder="1"/>
    <xf numFmtId="5" fontId="6" fillId="7" borderId="0" xfId="1" applyNumberFormat="1" applyFont="1" applyFill="1" applyBorder="1" applyAlignment="1">
      <alignment horizontal="center"/>
    </xf>
    <xf numFmtId="37" fontId="6" fillId="7" borderId="0" xfId="1" applyNumberFormat="1" applyFont="1" applyFill="1" applyBorder="1" applyAlignment="1">
      <alignment horizontal="center"/>
    </xf>
    <xf numFmtId="0" fontId="8" fillId="8" borderId="5" xfId="1" applyFont="1" applyFill="1" applyBorder="1" applyAlignment="1">
      <alignment horizontal="center"/>
    </xf>
    <xf numFmtId="0" fontId="8" fillId="8" borderId="0" xfId="1" applyFont="1" applyFill="1" applyBorder="1" applyAlignment="1">
      <alignment horizontal="center"/>
    </xf>
    <xf numFmtId="0" fontId="6" fillId="8" borderId="0" xfId="1" applyFont="1" applyFill="1" applyBorder="1"/>
    <xf numFmtId="5" fontId="6" fillId="8" borderId="0" xfId="1" applyNumberFormat="1" applyFont="1" applyFill="1" applyBorder="1" applyAlignment="1">
      <alignment horizontal="center"/>
    </xf>
    <xf numFmtId="37" fontId="6" fillId="8" borderId="0" xfId="1" applyNumberFormat="1" applyFont="1" applyFill="1" applyBorder="1" applyAlignment="1">
      <alignment horizontal="center"/>
    </xf>
    <xf numFmtId="0" fontId="8" fillId="9" borderId="5" xfId="1" applyFont="1" applyFill="1" applyBorder="1" applyAlignment="1">
      <alignment horizontal="center"/>
    </xf>
    <xf numFmtId="0" fontId="8" fillId="9" borderId="0" xfId="1" applyFont="1" applyFill="1" applyBorder="1" applyAlignment="1">
      <alignment horizontal="center"/>
    </xf>
    <xf numFmtId="5" fontId="6" fillId="9" borderId="0" xfId="1" applyNumberFormat="1" applyFont="1" applyFill="1" applyBorder="1" applyAlignment="1">
      <alignment horizontal="center"/>
    </xf>
    <xf numFmtId="37" fontId="6" fillId="9" borderId="0" xfId="1" applyNumberFormat="1" applyFont="1" applyFill="1" applyBorder="1" applyAlignment="1">
      <alignment horizontal="center"/>
    </xf>
    <xf numFmtId="0" fontId="8" fillId="10" borderId="5" xfId="1" applyFont="1" applyFill="1" applyBorder="1" applyAlignment="1">
      <alignment horizontal="center"/>
    </xf>
    <xf numFmtId="0" fontId="8" fillId="10" borderId="0" xfId="1" applyFont="1" applyFill="1" applyBorder="1" applyAlignment="1">
      <alignment horizontal="center"/>
    </xf>
    <xf numFmtId="0" fontId="6" fillId="10" borderId="0" xfId="1" applyFont="1" applyFill="1" applyBorder="1"/>
    <xf numFmtId="5" fontId="6" fillId="10" borderId="0" xfId="1" applyNumberFormat="1" applyFont="1" applyFill="1" applyBorder="1" applyAlignment="1">
      <alignment horizontal="center"/>
    </xf>
    <xf numFmtId="37" fontId="6" fillId="10" borderId="0" xfId="1" applyNumberFormat="1" applyFont="1" applyFill="1" applyBorder="1" applyAlignment="1">
      <alignment horizontal="center"/>
    </xf>
    <xf numFmtId="5" fontId="8" fillId="3" borderId="3" xfId="1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left" vertical="center" indent="1"/>
    </xf>
    <xf numFmtId="0" fontId="6" fillId="0" borderId="0" xfId="1" applyFont="1" applyBorder="1" applyAlignment="1">
      <alignment horizontal="left" indent="1"/>
    </xf>
    <xf numFmtId="0" fontId="6" fillId="0" borderId="0" xfId="1" applyFont="1" applyAlignment="1">
      <alignment horizontal="left" indent="1"/>
    </xf>
    <xf numFmtId="0" fontId="8" fillId="5" borderId="3" xfId="1" applyFont="1" applyFill="1" applyBorder="1" applyAlignment="1">
      <alignment horizontal="left"/>
    </xf>
    <xf numFmtId="37" fontId="8" fillId="5" borderId="3" xfId="1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left" vertical="center" indent="2"/>
    </xf>
    <xf numFmtId="0" fontId="6" fillId="0" borderId="0" xfId="1" applyFont="1" applyBorder="1" applyAlignment="1">
      <alignment horizontal="left" indent="2"/>
    </xf>
    <xf numFmtId="0" fontId="6" fillId="0" borderId="0" xfId="1" applyFont="1" applyAlignment="1">
      <alignment horizontal="left" indent="2"/>
    </xf>
    <xf numFmtId="0" fontId="8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37" fontId="6" fillId="9" borderId="5" xfId="1" applyNumberFormat="1" applyFont="1" applyFill="1" applyBorder="1" applyAlignment="1">
      <alignment horizontal="center"/>
    </xf>
    <xf numFmtId="37" fontId="6" fillId="8" borderId="5" xfId="1" applyNumberFormat="1" applyFont="1" applyFill="1" applyBorder="1" applyAlignment="1">
      <alignment horizontal="center"/>
    </xf>
    <xf numFmtId="37" fontId="6" fillId="7" borderId="5" xfId="1" applyNumberFormat="1" applyFont="1" applyFill="1" applyBorder="1" applyAlignment="1">
      <alignment horizontal="center"/>
    </xf>
    <xf numFmtId="37" fontId="6" fillId="10" borderId="5" xfId="1" applyNumberFormat="1" applyFont="1" applyFill="1" applyBorder="1" applyAlignment="1">
      <alignment horizontal="center"/>
    </xf>
    <xf numFmtId="37" fontId="6" fillId="3" borderId="5" xfId="1" applyNumberFormat="1" applyFont="1" applyFill="1" applyBorder="1" applyAlignment="1">
      <alignment horizontal="center"/>
    </xf>
    <xf numFmtId="37" fontId="6" fillId="3" borderId="0" xfId="1" applyNumberFormat="1" applyFont="1" applyFill="1" applyBorder="1" applyAlignment="1">
      <alignment horizontal="center"/>
    </xf>
    <xf numFmtId="0" fontId="8" fillId="0" borderId="0" xfId="1" applyFont="1" applyFill="1" applyBorder="1"/>
    <xf numFmtId="0" fontId="8" fillId="0" borderId="1" xfId="1" applyFont="1" applyFill="1" applyBorder="1"/>
    <xf numFmtId="0" fontId="8" fillId="3" borderId="3" xfId="1" applyFont="1" applyFill="1" applyBorder="1" applyAlignment="1">
      <alignment horizontal="left"/>
    </xf>
    <xf numFmtId="0" fontId="6" fillId="3" borderId="3" xfId="1" applyFont="1" applyFill="1" applyBorder="1"/>
    <xf numFmtId="37" fontId="8" fillId="3" borderId="3" xfId="1" applyNumberFormat="1" applyFont="1" applyFill="1" applyBorder="1" applyAlignment="1">
      <alignment horizontal="center"/>
    </xf>
    <xf numFmtId="9" fontId="12" fillId="0" borderId="0" xfId="1" applyNumberFormat="1" applyFont="1" applyBorder="1"/>
    <xf numFmtId="37" fontId="8" fillId="0" borderId="0" xfId="1" applyNumberFormat="1" applyFont="1" applyBorder="1" applyAlignment="1">
      <alignment horizontal="center"/>
    </xf>
    <xf numFmtId="166" fontId="8" fillId="0" borderId="0" xfId="1" applyNumberFormat="1" applyFont="1" applyBorder="1" applyAlignment="1">
      <alignment horizontal="center"/>
    </xf>
    <xf numFmtId="166" fontId="8" fillId="0" borderId="1" xfId="1" applyNumberFormat="1" applyFont="1" applyBorder="1" applyAlignment="1">
      <alignment horizontal="center"/>
    </xf>
    <xf numFmtId="0" fontId="8" fillId="0" borderId="0" xfId="1" applyFont="1"/>
    <xf numFmtId="5" fontId="6" fillId="0" borderId="1" xfId="1" applyNumberFormat="1" applyFont="1" applyFill="1" applyBorder="1"/>
    <xf numFmtId="7" fontId="6" fillId="0" borderId="1" xfId="1" applyNumberFormat="1" applyFont="1" applyFill="1" applyBorder="1"/>
    <xf numFmtId="0" fontId="6" fillId="0" borderId="5" xfId="1" applyFont="1" applyBorder="1" applyAlignment="1">
      <alignment horizontal="center"/>
    </xf>
    <xf numFmtId="0" fontId="6" fillId="0" borderId="5" xfId="1" applyFont="1" applyBorder="1" applyAlignment="1"/>
    <xf numFmtId="0" fontId="3" fillId="4" borderId="0" xfId="0" applyFont="1" applyFill="1" applyBorder="1" applyAlignment="1">
      <alignment horizontal="center" wrapText="1"/>
    </xf>
    <xf numFmtId="0" fontId="11" fillId="5" borderId="3" xfId="0" applyFont="1" applyFill="1" applyBorder="1"/>
    <xf numFmtId="37" fontId="8" fillId="5" borderId="3" xfId="0" applyNumberFormat="1" applyFont="1" applyFill="1" applyBorder="1"/>
    <xf numFmtId="0" fontId="6" fillId="3" borderId="0" xfId="0" applyFont="1" applyFill="1" applyBorder="1"/>
    <xf numFmtId="0" fontId="3" fillId="3" borderId="0" xfId="0" applyFont="1" applyFill="1" applyBorder="1" applyAlignment="1">
      <alignment wrapText="1"/>
    </xf>
    <xf numFmtId="5" fontId="6" fillId="3" borderId="0" xfId="0" applyNumberFormat="1" applyFont="1" applyFill="1" applyBorder="1"/>
    <xf numFmtId="0" fontId="3" fillId="3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8" fillId="0" borderId="3" xfId="1" applyFont="1" applyBorder="1" applyAlignment="1">
      <alignment horizontal="left"/>
    </xf>
    <xf numFmtId="0" fontId="6" fillId="0" borderId="0" xfId="1" applyFont="1" applyBorder="1" applyAlignment="1"/>
    <xf numFmtId="0" fontId="6" fillId="0" borderId="1" xfId="1" applyFont="1" applyBorder="1" applyAlignment="1"/>
    <xf numFmtId="0" fontId="6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 wrapText="1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left" indent="1"/>
    </xf>
    <xf numFmtId="0" fontId="6" fillId="0" borderId="0" xfId="1" applyFont="1" applyBorder="1" applyAlignment="1">
      <alignment horizontal="left" indent="2"/>
    </xf>
    <xf numFmtId="37" fontId="6" fillId="3" borderId="0" xfId="0" applyNumberFormat="1" applyFont="1" applyFill="1" applyBorder="1"/>
    <xf numFmtId="37" fontId="8" fillId="3" borderId="0" xfId="0" applyNumberFormat="1" applyFont="1" applyFill="1" applyBorder="1"/>
    <xf numFmtId="0" fontId="6" fillId="9" borderId="0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right"/>
    </xf>
    <xf numFmtId="37" fontId="10" fillId="9" borderId="0" xfId="0" applyNumberFormat="1" applyFont="1" applyFill="1"/>
    <xf numFmtId="37" fontId="6" fillId="9" borderId="0" xfId="0" applyNumberFormat="1" applyFont="1" applyFill="1"/>
    <xf numFmtId="0" fontId="6" fillId="8" borderId="0" xfId="0" applyFont="1" applyFill="1" applyBorder="1" applyAlignment="1">
      <alignment horizontal="left" vertical="center"/>
    </xf>
    <xf numFmtId="0" fontId="6" fillId="8" borderId="0" xfId="0" applyFont="1" applyFill="1" applyAlignment="1">
      <alignment horizontal="right"/>
    </xf>
    <xf numFmtId="37" fontId="10" fillId="8" borderId="0" xfId="0" applyNumberFormat="1" applyFont="1" applyFill="1"/>
    <xf numFmtId="37" fontId="6" fillId="8" borderId="0" xfId="0" applyNumberFormat="1" applyFont="1" applyFill="1"/>
    <xf numFmtId="0" fontId="6" fillId="11" borderId="0" xfId="0" applyFont="1" applyFill="1" applyBorder="1" applyAlignment="1">
      <alignment horizontal="left" vertical="center"/>
    </xf>
    <xf numFmtId="0" fontId="6" fillId="11" borderId="0" xfId="0" applyFont="1" applyFill="1" applyAlignment="1">
      <alignment horizontal="right"/>
    </xf>
    <xf numFmtId="37" fontId="10" fillId="11" borderId="0" xfId="0" applyNumberFormat="1" applyFont="1" applyFill="1"/>
    <xf numFmtId="37" fontId="6" fillId="11" borderId="0" xfId="0" applyNumberFormat="1" applyFont="1" applyFill="1"/>
    <xf numFmtId="0" fontId="6" fillId="8" borderId="0" xfId="1" applyFont="1" applyFill="1" applyBorder="1" applyAlignment="1">
      <alignment horizontal="center"/>
    </xf>
    <xf numFmtId="0" fontId="6" fillId="7" borderId="0" xfId="1" applyFont="1" applyFill="1" applyBorder="1" applyAlignment="1">
      <alignment horizontal="center"/>
    </xf>
    <xf numFmtId="0" fontId="6" fillId="9" borderId="0" xfId="1" applyFont="1" applyFill="1" applyBorder="1" applyAlignment="1">
      <alignment horizontal="center"/>
    </xf>
    <xf numFmtId="166" fontId="28" fillId="3" borderId="0" xfId="0" applyNumberFormat="1" applyFont="1" applyFill="1"/>
    <xf numFmtId="37" fontId="8" fillId="11" borderId="0" xfId="0" applyNumberFormat="1" applyFont="1" applyFill="1"/>
    <xf numFmtId="37" fontId="8" fillId="9" borderId="0" xfId="0" applyNumberFormat="1" applyFont="1" applyFill="1"/>
    <xf numFmtId="166" fontId="36" fillId="3" borderId="0" xfId="0" applyNumberFormat="1" applyFont="1" applyFill="1"/>
    <xf numFmtId="9" fontId="12" fillId="3" borderId="0" xfId="0" applyNumberFormat="1" applyFont="1" applyFill="1" applyBorder="1" applyAlignment="1">
      <alignment horizontal="center" wrapText="1"/>
    </xf>
    <xf numFmtId="166" fontId="9" fillId="3" borderId="0" xfId="0" applyNumberFormat="1" applyFont="1" applyFill="1"/>
    <xf numFmtId="37" fontId="8" fillId="8" borderId="0" xfId="0" applyNumberFormat="1" applyFont="1" applyFill="1"/>
    <xf numFmtId="0" fontId="26" fillId="4" borderId="0" xfId="0" applyFont="1" applyFill="1" applyBorder="1" applyAlignment="1">
      <alignment horizontal="center" wrapText="1"/>
    </xf>
    <xf numFmtId="41" fontId="28" fillId="11" borderId="0" xfId="0" applyNumberFormat="1" applyFont="1" applyFill="1"/>
    <xf numFmtId="41" fontId="10" fillId="11" borderId="0" xfId="0" applyNumberFormat="1" applyFont="1" applyFill="1"/>
    <xf numFmtId="41" fontId="10" fillId="9" borderId="0" xfId="0" applyNumberFormat="1" applyFont="1" applyFill="1"/>
    <xf numFmtId="41" fontId="10" fillId="8" borderId="0" xfId="0" applyNumberFormat="1" applyFont="1" applyFill="1"/>
    <xf numFmtId="41" fontId="9" fillId="5" borderId="3" xfId="0" applyNumberFormat="1" applyFont="1" applyFill="1" applyBorder="1"/>
    <xf numFmtId="37" fontId="13" fillId="0" borderId="0" xfId="0" applyNumberFormat="1" applyFont="1" applyBorder="1" applyAlignment="1">
      <alignment horizontal="center" vertical="center"/>
    </xf>
    <xf numFmtId="37" fontId="9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/>
    </xf>
    <xf numFmtId="0" fontId="9" fillId="3" borderId="0" xfId="0" applyFont="1" applyFill="1" applyBorder="1"/>
    <xf numFmtId="10" fontId="9" fillId="3" borderId="0" xfId="0" applyNumberFormat="1" applyFont="1" applyFill="1" applyBorder="1"/>
    <xf numFmtId="0" fontId="13" fillId="0" borderId="0" xfId="0" applyFont="1"/>
    <xf numFmtId="37" fontId="6" fillId="0" borderId="3" xfId="0" applyNumberFormat="1" applyFont="1" applyBorder="1"/>
    <xf numFmtId="0" fontId="8" fillId="5" borderId="3" xfId="0" applyFont="1" applyFill="1" applyBorder="1" applyAlignment="1">
      <alignment horizontal="right"/>
    </xf>
    <xf numFmtId="0" fontId="6" fillId="0" borderId="1" xfId="1" applyFont="1" applyBorder="1" applyAlignment="1">
      <alignment horizontal="left" indent="1"/>
    </xf>
    <xf numFmtId="0" fontId="6" fillId="0" borderId="0" xfId="1" applyFont="1" applyFill="1" applyBorder="1" applyAlignment="1">
      <alignment horizontal="center"/>
    </xf>
    <xf numFmtId="0" fontId="31" fillId="0" borderId="0" xfId="1" applyFont="1" applyBorder="1" applyAlignment="1">
      <alignment horizontal="left" indent="2"/>
    </xf>
    <xf numFmtId="0" fontId="8" fillId="0" borderId="1" xfId="1" applyFont="1" applyBorder="1" applyAlignment="1">
      <alignment wrapText="1"/>
    </xf>
    <xf numFmtId="171" fontId="6" fillId="0" borderId="0" xfId="1" applyNumberFormat="1" applyFont="1" applyFill="1" applyBorder="1" applyAlignment="1">
      <alignment horizontal="center"/>
    </xf>
    <xf numFmtId="5" fontId="6" fillId="0" borderId="5" xfId="1" applyNumberFormat="1" applyFont="1" applyBorder="1" applyAlignment="1"/>
    <xf numFmtId="5" fontId="6" fillId="0" borderId="0" xfId="1" applyNumberFormat="1" applyFont="1" applyBorder="1" applyAlignment="1"/>
    <xf numFmtId="5" fontId="6" fillId="0" borderId="0" xfId="1" applyNumberFormat="1" applyFont="1" applyBorder="1" applyAlignment="1">
      <alignment horizontal="right"/>
    </xf>
    <xf numFmtId="5" fontId="6" fillId="0" borderId="1" xfId="1" applyNumberFormat="1" applyFont="1" applyBorder="1" applyAlignment="1"/>
    <xf numFmtId="164" fontId="6" fillId="5" borderId="0" xfId="0" applyNumberFormat="1" applyFont="1" applyFill="1" applyBorder="1"/>
    <xf numFmtId="0" fontId="8" fillId="0" borderId="3" xfId="1" applyFont="1" applyBorder="1"/>
    <xf numFmtId="0" fontId="6" fillId="3" borderId="0" xfId="1" applyFont="1" applyFill="1" applyBorder="1"/>
    <xf numFmtId="37" fontId="8" fillId="3" borderId="0" xfId="1" applyNumberFormat="1" applyFont="1" applyFill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9" fillId="3" borderId="0" xfId="1" applyFont="1" applyFill="1" applyBorder="1" applyAlignment="1">
      <alignment horizontal="left"/>
    </xf>
    <xf numFmtId="42" fontId="9" fillId="3" borderId="0" xfId="1" applyNumberFormat="1" applyFont="1" applyFill="1" applyBorder="1" applyAlignment="1">
      <alignment horizontal="center"/>
    </xf>
    <xf numFmtId="0" fontId="6" fillId="0" borderId="1" xfId="1" applyFont="1" applyBorder="1" applyAlignment="1">
      <alignment vertical="center"/>
    </xf>
    <xf numFmtId="3" fontId="6" fillId="0" borderId="0" xfId="1" applyNumberFormat="1" applyFont="1" applyBorder="1" applyAlignment="1">
      <alignment horizontal="right"/>
    </xf>
    <xf numFmtId="0" fontId="8" fillId="0" borderId="10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8" fillId="5" borderId="3" xfId="1" applyFont="1" applyFill="1" applyBorder="1" applyAlignment="1"/>
    <xf numFmtId="0" fontId="6" fillId="5" borderId="3" xfId="1" applyFont="1" applyFill="1" applyBorder="1" applyAlignment="1"/>
    <xf numFmtId="0" fontId="8" fillId="5" borderId="1" xfId="1" applyFont="1" applyFill="1" applyBorder="1" applyAlignment="1">
      <alignment horizontal="left"/>
    </xf>
    <xf numFmtId="0" fontId="3" fillId="4" borderId="0" xfId="0" applyFont="1" applyFill="1" applyBorder="1" applyAlignment="1">
      <alignment horizontal="center" wrapText="1"/>
    </xf>
    <xf numFmtId="4" fontId="9" fillId="0" borderId="0" xfId="0" applyNumberFormat="1" applyFont="1"/>
    <xf numFmtId="5" fontId="37" fillId="0" borderId="0" xfId="0" applyNumberFormat="1" applyFont="1"/>
    <xf numFmtId="0" fontId="8" fillId="0" borderId="1" xfId="1" applyFont="1" applyBorder="1" applyAlignment="1">
      <alignment horizontal="center"/>
    </xf>
    <xf numFmtId="0" fontId="6" fillId="0" borderId="0" xfId="1" applyFont="1" applyBorder="1" applyAlignment="1">
      <alignment horizontal="left" indent="1"/>
    </xf>
    <xf numFmtId="0" fontId="6" fillId="0" borderId="0" xfId="1" applyFont="1" applyBorder="1" applyAlignment="1">
      <alignment horizontal="center"/>
    </xf>
    <xf numFmtId="0" fontId="41" fillId="3" borderId="0" xfId="0" applyFont="1" applyFill="1" applyBorder="1" applyAlignment="1">
      <alignment horizontal="center"/>
    </xf>
    <xf numFmtId="0" fontId="43" fillId="3" borderId="0" xfId="0" applyFont="1" applyFill="1" applyBorder="1" applyAlignment="1">
      <alignment horizontal="center"/>
    </xf>
    <xf numFmtId="0" fontId="42" fillId="3" borderId="14" xfId="0" applyFont="1" applyFill="1" applyBorder="1" applyAlignment="1">
      <alignment horizontal="left"/>
    </xf>
    <xf numFmtId="0" fontId="39" fillId="3" borderId="5" xfId="0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/>
    </xf>
    <xf numFmtId="0" fontId="43" fillId="3" borderId="7" xfId="0" applyFont="1" applyFill="1" applyBorder="1" applyAlignment="1">
      <alignment horizontal="center"/>
    </xf>
    <xf numFmtId="0" fontId="44" fillId="3" borderId="14" xfId="0" applyFont="1" applyFill="1" applyBorder="1" applyAlignment="1">
      <alignment horizontal="left" indent="1"/>
    </xf>
    <xf numFmtId="0" fontId="44" fillId="3" borderId="14" xfId="0" applyFont="1" applyFill="1" applyBorder="1" applyAlignment="1">
      <alignment horizontal="left"/>
    </xf>
    <xf numFmtId="0" fontId="44" fillId="3" borderId="14" xfId="0" applyFont="1" applyFill="1" applyBorder="1" applyAlignment="1">
      <alignment horizontal="left" indent="2"/>
    </xf>
    <xf numFmtId="0" fontId="5" fillId="0" borderId="14" xfId="0" applyFont="1" applyFill="1" applyBorder="1" applyAlignment="1">
      <alignment horizontal="left" indent="1"/>
    </xf>
    <xf numFmtId="0" fontId="5" fillId="3" borderId="14" xfId="0" applyFont="1" applyFill="1" applyBorder="1" applyAlignment="1">
      <alignment horizontal="left" vertical="top"/>
    </xf>
    <xf numFmtId="0" fontId="5" fillId="3" borderId="16" xfId="0" applyFont="1" applyFill="1" applyBorder="1" applyAlignment="1">
      <alignment horizontal="left" vertical="top"/>
    </xf>
    <xf numFmtId="0" fontId="5" fillId="3" borderId="18" xfId="0" applyFont="1" applyFill="1" applyBorder="1" applyAlignment="1">
      <alignment horizontal="left" vertical="top"/>
    </xf>
    <xf numFmtId="0" fontId="11" fillId="3" borderId="20" xfId="0" applyFont="1" applyFill="1" applyBorder="1" applyAlignment="1">
      <alignment horizontal="left" vertical="top"/>
    </xf>
    <xf numFmtId="0" fontId="23" fillId="3" borderId="0" xfId="0" applyFont="1" applyFill="1" applyBorder="1" applyAlignment="1">
      <alignment horizontal="center"/>
    </xf>
    <xf numFmtId="0" fontId="23" fillId="3" borderId="15" xfId="0" applyFont="1" applyFill="1" applyBorder="1" applyAlignment="1">
      <alignment horizontal="center"/>
    </xf>
    <xf numFmtId="3" fontId="6" fillId="3" borderId="0" xfId="0" applyNumberFormat="1" applyFont="1" applyFill="1"/>
    <xf numFmtId="0" fontId="38" fillId="3" borderId="0" xfId="0" applyFont="1" applyFill="1" applyBorder="1" applyAlignment="1">
      <alignment horizontal="left" vertical="top"/>
    </xf>
    <xf numFmtId="3" fontId="38" fillId="3" borderId="0" xfId="0" applyNumberFormat="1" applyFont="1" applyFill="1" applyBorder="1" applyAlignment="1">
      <alignment horizontal="center"/>
    </xf>
    <xf numFmtId="0" fontId="43" fillId="3" borderId="0" xfId="0" applyFont="1" applyFill="1" applyAlignment="1">
      <alignment horizontal="center"/>
    </xf>
    <xf numFmtId="172" fontId="43" fillId="3" borderId="0" xfId="0" applyNumberFormat="1" applyFont="1" applyFill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0" fillId="3" borderId="0" xfId="2" applyFont="1" applyFill="1"/>
    <xf numFmtId="0" fontId="6" fillId="3" borderId="15" xfId="0" applyFont="1" applyFill="1" applyBorder="1"/>
    <xf numFmtId="0" fontId="3" fillId="4" borderId="11" xfId="0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6" fillId="0" borderId="14" xfId="0" applyFont="1" applyBorder="1" applyAlignment="1">
      <alignment horizontal="left" vertical="center"/>
    </xf>
    <xf numFmtId="5" fontId="6" fillId="3" borderId="15" xfId="0" applyNumberFormat="1" applyFont="1" applyFill="1" applyBorder="1"/>
    <xf numFmtId="5" fontId="6" fillId="3" borderId="7" xfId="0" applyNumberFormat="1" applyFont="1" applyFill="1" applyBorder="1"/>
    <xf numFmtId="5" fontId="6" fillId="3" borderId="21" xfId="0" applyNumberFormat="1" applyFont="1" applyFill="1" applyBorder="1"/>
    <xf numFmtId="5" fontId="6" fillId="3" borderId="5" xfId="0" applyNumberFormat="1" applyFont="1" applyFill="1" applyBorder="1"/>
    <xf numFmtId="5" fontId="6" fillId="3" borderId="17" xfId="0" applyNumberFormat="1" applyFont="1" applyFill="1" applyBorder="1"/>
    <xf numFmtId="5" fontId="6" fillId="3" borderId="1" xfId="0" applyNumberFormat="1" applyFont="1" applyFill="1" applyBorder="1"/>
    <xf numFmtId="5" fontId="6" fillId="3" borderId="19" xfId="0" applyNumberFormat="1" applyFont="1" applyFill="1" applyBorder="1"/>
    <xf numFmtId="0" fontId="45" fillId="3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indent="1"/>
    </xf>
    <xf numFmtId="0" fontId="46" fillId="3" borderId="14" xfId="0" applyFont="1" applyFill="1" applyBorder="1" applyAlignment="1">
      <alignment horizontal="left"/>
    </xf>
    <xf numFmtId="0" fontId="46" fillId="3" borderId="0" xfId="0" applyFont="1" applyFill="1" applyBorder="1" applyAlignment="1">
      <alignment horizontal="center"/>
    </xf>
    <xf numFmtId="0" fontId="46" fillId="3" borderId="15" xfId="0" applyFont="1" applyFill="1" applyBorder="1" applyAlignment="1">
      <alignment horizontal="center"/>
    </xf>
    <xf numFmtId="173" fontId="5" fillId="3" borderId="0" xfId="0" applyNumberFormat="1" applyFont="1" applyFill="1" applyBorder="1" applyAlignment="1">
      <alignment horizontal="center"/>
    </xf>
    <xf numFmtId="173" fontId="5" fillId="3" borderId="15" xfId="0" applyNumberFormat="1" applyFont="1" applyFill="1" applyBorder="1" applyAlignment="1">
      <alignment horizontal="center"/>
    </xf>
    <xf numFmtId="173" fontId="45" fillId="3" borderId="0" xfId="0" applyNumberFormat="1" applyFont="1" applyFill="1" applyBorder="1" applyAlignment="1">
      <alignment horizontal="center"/>
    </xf>
    <xf numFmtId="0" fontId="44" fillId="3" borderId="25" xfId="0" applyFont="1" applyFill="1" applyBorder="1" applyAlignment="1">
      <alignment horizontal="left"/>
    </xf>
    <xf numFmtId="173" fontId="45" fillId="3" borderId="3" xfId="0" applyNumberFormat="1" applyFont="1" applyFill="1" applyBorder="1" applyAlignment="1">
      <alignment horizontal="center"/>
    </xf>
    <xf numFmtId="173" fontId="5" fillId="3" borderId="3" xfId="0" applyNumberFormat="1" applyFont="1" applyFill="1" applyBorder="1" applyAlignment="1">
      <alignment horizontal="center"/>
    </xf>
    <xf numFmtId="173" fontId="5" fillId="3" borderId="26" xfId="0" applyNumberFormat="1" applyFont="1" applyFill="1" applyBorder="1" applyAlignment="1">
      <alignment horizontal="center"/>
    </xf>
    <xf numFmtId="173" fontId="45" fillId="3" borderId="15" xfId="0" applyNumberFormat="1" applyFont="1" applyFill="1" applyBorder="1" applyAlignment="1">
      <alignment horizontal="center"/>
    </xf>
    <xf numFmtId="0" fontId="44" fillId="3" borderId="20" xfId="0" applyFont="1" applyFill="1" applyBorder="1" applyAlignment="1">
      <alignment horizontal="left"/>
    </xf>
    <xf numFmtId="173" fontId="45" fillId="3" borderId="10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3" fontId="5" fillId="3" borderId="27" xfId="0" applyNumberFormat="1" applyFont="1" applyFill="1" applyBorder="1" applyAlignment="1">
      <alignment horizontal="center"/>
    </xf>
    <xf numFmtId="173" fontId="45" fillId="3" borderId="0" xfId="0" applyNumberFormat="1" applyFont="1" applyFill="1" applyBorder="1" applyAlignment="1">
      <alignment horizontal="center" vertical="center"/>
    </xf>
    <xf numFmtId="174" fontId="46" fillId="3" borderId="0" xfId="0" applyNumberFormat="1" applyFont="1" applyFill="1" applyBorder="1" applyAlignment="1">
      <alignment horizontal="center"/>
    </xf>
    <xf numFmtId="173" fontId="10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73" fontId="10" fillId="3" borderId="3" xfId="0" applyNumberFormat="1" applyFont="1" applyFill="1" applyBorder="1" applyAlignment="1">
      <alignment horizontal="center" vertical="center"/>
    </xf>
    <xf numFmtId="173" fontId="10" fillId="3" borderId="0" xfId="0" applyNumberFormat="1" applyFont="1" applyFill="1" applyBorder="1" applyAlignment="1">
      <alignment horizontal="center" vertical="center"/>
    </xf>
    <xf numFmtId="4" fontId="10" fillId="3" borderId="0" xfId="0" applyNumberFormat="1" applyFont="1" applyFill="1" applyBorder="1" applyAlignment="1">
      <alignment horizontal="center" vertical="center"/>
    </xf>
    <xf numFmtId="0" fontId="6" fillId="3" borderId="14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left" indent="2"/>
    </xf>
    <xf numFmtId="0" fontId="6" fillId="3" borderId="14" xfId="0" applyFont="1" applyFill="1" applyBorder="1" applyAlignment="1">
      <alignment horizontal="left"/>
    </xf>
    <xf numFmtId="175" fontId="6" fillId="3" borderId="14" xfId="0" applyNumberFormat="1" applyFont="1" applyFill="1" applyBorder="1" applyAlignment="1">
      <alignment horizontal="left" indent="1"/>
    </xf>
    <xf numFmtId="0" fontId="6" fillId="3" borderId="20" xfId="0" applyFont="1" applyFill="1" applyBorder="1"/>
    <xf numFmtId="0" fontId="40" fillId="3" borderId="0" xfId="2" applyFont="1" applyFill="1" applyBorder="1"/>
    <xf numFmtId="9" fontId="6" fillId="3" borderId="0" xfId="0" applyNumberFormat="1" applyFont="1" applyFill="1" applyBorder="1" applyAlignment="1">
      <alignment horizontal="center"/>
    </xf>
    <xf numFmtId="9" fontId="6" fillId="3" borderId="15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3" borderId="15" xfId="0" applyNumberFormat="1" applyFont="1" applyFill="1" applyBorder="1" applyAlignment="1">
      <alignment horizontal="center"/>
    </xf>
    <xf numFmtId="0" fontId="38" fillId="3" borderId="28" xfId="0" applyFont="1" applyFill="1" applyBorder="1"/>
    <xf numFmtId="0" fontId="38" fillId="3" borderId="10" xfId="0" applyFont="1" applyFill="1" applyBorder="1"/>
    <xf numFmtId="0" fontId="38" fillId="3" borderId="27" xfId="0" applyFont="1" applyFill="1" applyBorder="1"/>
    <xf numFmtId="0" fontId="11" fillId="3" borderId="14" xfId="0" applyFont="1" applyFill="1" applyBorder="1"/>
    <xf numFmtId="0" fontId="11" fillId="3" borderId="15" xfId="0" applyFont="1" applyFill="1" applyBorder="1" applyAlignment="1">
      <alignment horizontal="center"/>
    </xf>
    <xf numFmtId="0" fontId="11" fillId="3" borderId="25" xfId="0" applyFont="1" applyFill="1" applyBorder="1"/>
    <xf numFmtId="0" fontId="6" fillId="3" borderId="30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3" fontId="6" fillId="3" borderId="30" xfId="0" applyNumberFormat="1" applyFont="1" applyFill="1" applyBorder="1" applyAlignment="1">
      <alignment horizontal="center"/>
    </xf>
    <xf numFmtId="3" fontId="6" fillId="3" borderId="33" xfId="0" applyNumberFormat="1" applyFont="1" applyFill="1" applyBorder="1" applyAlignment="1">
      <alignment horizontal="center"/>
    </xf>
    <xf numFmtId="4" fontId="6" fillId="3" borderId="15" xfId="0" applyNumberFormat="1" applyFont="1" applyFill="1" applyBorder="1" applyAlignment="1">
      <alignment horizontal="center"/>
    </xf>
    <xf numFmtId="3" fontId="11" fillId="3" borderId="4" xfId="0" applyNumberFormat="1" applyFont="1" applyFill="1" applyBorder="1" applyAlignment="1">
      <alignment horizontal="center"/>
    </xf>
    <xf numFmtId="3" fontId="11" fillId="3" borderId="35" xfId="0" applyNumberFormat="1" applyFont="1" applyFill="1" applyBorder="1" applyAlignment="1">
      <alignment horizontal="center"/>
    </xf>
    <xf numFmtId="3" fontId="11" fillId="3" borderId="26" xfId="0" applyNumberFormat="1" applyFont="1" applyFill="1" applyBorder="1" applyAlignment="1">
      <alignment horizontal="center"/>
    </xf>
    <xf numFmtId="3" fontId="6" fillId="3" borderId="21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3" fontId="11" fillId="3" borderId="27" xfId="0" applyNumberFormat="1" applyFont="1" applyFill="1" applyBorder="1" applyAlignment="1">
      <alignment horizontal="center"/>
    </xf>
    <xf numFmtId="166" fontId="5" fillId="3" borderId="0" xfId="0" applyNumberFormat="1" applyFont="1" applyFill="1" applyBorder="1" applyAlignment="1">
      <alignment horizontal="center"/>
    </xf>
    <xf numFmtId="166" fontId="5" fillId="3" borderId="15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/>
    </xf>
    <xf numFmtId="0" fontId="11" fillId="3" borderId="3" xfId="0" applyFont="1" applyFill="1" applyBorder="1"/>
    <xf numFmtId="175" fontId="6" fillId="3" borderId="0" xfId="0" applyNumberFormat="1" applyFont="1" applyFill="1" applyBorder="1" applyAlignment="1">
      <alignment horizontal="left" indent="1"/>
    </xf>
    <xf numFmtId="0" fontId="6" fillId="3" borderId="7" xfId="0" applyFont="1" applyFill="1" applyBorder="1"/>
    <xf numFmtId="0" fontId="11" fillId="3" borderId="0" xfId="0" applyFont="1" applyFill="1" applyBorder="1"/>
    <xf numFmtId="0" fontId="10" fillId="3" borderId="30" xfId="0" applyFont="1" applyFill="1" applyBorder="1" applyAlignment="1">
      <alignment horizontal="center"/>
    </xf>
    <xf numFmtId="9" fontId="10" fillId="3" borderId="30" xfId="0" applyNumberFormat="1" applyFont="1" applyFill="1" applyBorder="1" applyAlignment="1">
      <alignment horizontal="center"/>
    </xf>
    <xf numFmtId="3" fontId="11" fillId="3" borderId="29" xfId="0" applyNumberFormat="1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9" fontId="6" fillId="3" borderId="33" xfId="0" applyNumberFormat="1" applyFont="1" applyFill="1" applyBorder="1" applyAlignment="1">
      <alignment horizontal="center"/>
    </xf>
    <xf numFmtId="166" fontId="5" fillId="3" borderId="33" xfId="0" applyNumberFormat="1" applyFont="1" applyFill="1" applyBorder="1" applyAlignment="1">
      <alignment horizontal="center"/>
    </xf>
    <xf numFmtId="3" fontId="11" fillId="3" borderId="37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5" xfId="0" applyFont="1" applyFill="1" applyBorder="1"/>
    <xf numFmtId="0" fontId="11" fillId="3" borderId="28" xfId="0" applyFont="1" applyFill="1" applyBorder="1"/>
    <xf numFmtId="0" fontId="11" fillId="3" borderId="10" xfId="0" applyFont="1" applyFill="1" applyBorder="1"/>
    <xf numFmtId="3" fontId="6" fillId="3" borderId="15" xfId="0" applyNumberFormat="1" applyFont="1" applyFill="1" applyBorder="1" applyAlignment="1">
      <alignment horizontal="right"/>
    </xf>
    <xf numFmtId="3" fontId="11" fillId="3" borderId="27" xfId="0" applyNumberFormat="1" applyFont="1" applyFill="1" applyBorder="1"/>
    <xf numFmtId="9" fontId="10" fillId="3" borderId="33" xfId="0" applyNumberFormat="1" applyFont="1" applyFill="1" applyBorder="1" applyAlignment="1">
      <alignment horizontal="center"/>
    </xf>
    <xf numFmtId="9" fontId="10" fillId="3" borderId="15" xfId="0" applyNumberFormat="1" applyFont="1" applyFill="1" applyBorder="1" applyAlignment="1">
      <alignment horizontal="center"/>
    </xf>
    <xf numFmtId="0" fontId="10" fillId="3" borderId="15" xfId="0" applyNumberFormat="1" applyFont="1" applyFill="1" applyBorder="1" applyAlignment="1">
      <alignment horizontal="center"/>
    </xf>
    <xf numFmtId="3" fontId="10" fillId="3" borderId="15" xfId="0" applyNumberFormat="1" applyFont="1" applyFill="1" applyBorder="1" applyAlignment="1">
      <alignment horizontal="center"/>
    </xf>
    <xf numFmtId="0" fontId="4" fillId="3" borderId="0" xfId="0" applyFont="1" applyFill="1"/>
    <xf numFmtId="3" fontId="5" fillId="3" borderId="15" xfId="0" applyNumberFormat="1" applyFont="1" applyFill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0" fontId="5" fillId="3" borderId="21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 indent="1"/>
    </xf>
    <xf numFmtId="5" fontId="10" fillId="3" borderId="0" xfId="0" applyNumberFormat="1" applyFont="1" applyFill="1" applyBorder="1" applyAlignment="1">
      <alignment horizontal="center"/>
    </xf>
    <xf numFmtId="5" fontId="10" fillId="3" borderId="30" xfId="0" applyNumberFormat="1" applyFont="1" applyFill="1" applyBorder="1" applyAlignment="1">
      <alignment horizontal="center"/>
    </xf>
    <xf numFmtId="5" fontId="10" fillId="3" borderId="33" xfId="0" applyNumberFormat="1" applyFont="1" applyFill="1" applyBorder="1" applyAlignment="1">
      <alignment horizontal="center"/>
    </xf>
    <xf numFmtId="5" fontId="10" fillId="3" borderId="15" xfId="0" applyNumberFormat="1" applyFont="1" applyFill="1" applyBorder="1" applyAlignment="1">
      <alignment horizontal="center"/>
    </xf>
    <xf numFmtId="5" fontId="10" fillId="3" borderId="7" xfId="0" applyNumberFormat="1" applyFont="1" applyFill="1" applyBorder="1" applyAlignment="1">
      <alignment horizontal="center"/>
    </xf>
    <xf numFmtId="166" fontId="10" fillId="3" borderId="30" xfId="0" applyNumberFormat="1" applyFont="1" applyFill="1" applyBorder="1" applyAlignment="1">
      <alignment horizontal="center"/>
    </xf>
    <xf numFmtId="166" fontId="6" fillId="3" borderId="0" xfId="0" applyNumberFormat="1" applyFont="1" applyFill="1"/>
    <xf numFmtId="166" fontId="6" fillId="0" borderId="0" xfId="0" applyNumberFormat="1" applyFont="1" applyAlignment="1">
      <alignment vertical="center"/>
    </xf>
    <xf numFmtId="5" fontId="10" fillId="3" borderId="0" xfId="0" applyNumberFormat="1" applyFont="1" applyFill="1" applyBorder="1" applyAlignment="1">
      <alignment horizontal="center" vertical="center"/>
    </xf>
    <xf numFmtId="5" fontId="11" fillId="3" borderId="0" xfId="0" applyNumberFormat="1" applyFont="1" applyFill="1"/>
    <xf numFmtId="176" fontId="12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wrapText="1"/>
    </xf>
    <xf numFmtId="177" fontId="49" fillId="0" borderId="0" xfId="0" applyNumberFormat="1" applyFont="1"/>
    <xf numFmtId="5" fontId="6" fillId="11" borderId="0" xfId="0" applyNumberFormat="1" applyFont="1" applyFill="1"/>
    <xf numFmtId="5" fontId="6" fillId="9" borderId="0" xfId="0" applyNumberFormat="1" applyFont="1" applyFill="1"/>
    <xf numFmtId="5" fontId="6" fillId="8" borderId="0" xfId="0" applyNumberFormat="1" applyFont="1" applyFill="1"/>
    <xf numFmtId="5" fontId="8" fillId="5" borderId="3" xfId="0" applyNumberFormat="1" applyFont="1" applyFill="1" applyBorder="1"/>
    <xf numFmtId="8" fontId="40" fillId="3" borderId="0" xfId="2" applyNumberFormat="1" applyFont="1" applyFill="1"/>
    <xf numFmtId="6" fontId="8" fillId="0" borderId="0" xfId="0" applyNumberFormat="1" applyFont="1"/>
    <xf numFmtId="9" fontId="12" fillId="0" borderId="0" xfId="0" applyNumberFormat="1" applyFont="1"/>
    <xf numFmtId="5" fontId="6" fillId="3" borderId="0" xfId="1" applyNumberFormat="1" applyFont="1" applyFill="1" applyBorder="1"/>
    <xf numFmtId="7" fontId="6" fillId="0" borderId="0" xfId="0" applyNumberFormat="1" applyFont="1"/>
    <xf numFmtId="0" fontId="21" fillId="0" borderId="0" xfId="0" applyFont="1" applyAlignment="1">
      <alignment horizontal="center"/>
    </xf>
    <xf numFmtId="0" fontId="5" fillId="3" borderId="0" xfId="0" applyFont="1" applyFill="1"/>
    <xf numFmtId="37" fontId="10" fillId="3" borderId="0" xfId="0" applyNumberFormat="1" applyFont="1" applyFill="1" applyBorder="1"/>
    <xf numFmtId="0" fontId="6" fillId="0" borderId="1" xfId="0" applyFont="1" applyBorder="1"/>
    <xf numFmtId="37" fontId="6" fillId="3" borderId="1" xfId="0" applyNumberFormat="1" applyFont="1" applyFill="1" applyBorder="1"/>
    <xf numFmtId="0" fontId="6" fillId="0" borderId="5" xfId="0" applyFont="1" applyBorder="1"/>
    <xf numFmtId="5" fontId="6" fillId="0" borderId="5" xfId="0" applyNumberFormat="1" applyFont="1" applyBorder="1"/>
    <xf numFmtId="14" fontId="9" fillId="3" borderId="0" xfId="0" applyNumberFormat="1" applyFont="1" applyFill="1" applyBorder="1"/>
    <xf numFmtId="37" fontId="8" fillId="3" borderId="1" xfId="0" applyNumberFormat="1" applyFont="1" applyFill="1" applyBorder="1"/>
    <xf numFmtId="0" fontId="8" fillId="0" borderId="0" xfId="0" applyFont="1" applyBorder="1"/>
    <xf numFmtId="0" fontId="3" fillId="4" borderId="38" xfId="1" applyFont="1" applyFill="1" applyBorder="1"/>
    <xf numFmtId="0" fontId="3" fillId="4" borderId="5" xfId="1" applyFont="1" applyFill="1" applyBorder="1"/>
    <xf numFmtId="0" fontId="8" fillId="3" borderId="0" xfId="1" applyFont="1" applyFill="1" applyBorder="1" applyAlignment="1">
      <alignment horizontal="center" vertical="center"/>
    </xf>
    <xf numFmtId="0" fontId="50" fillId="3" borderId="0" xfId="1" applyFont="1" applyFill="1"/>
    <xf numFmtId="0" fontId="3" fillId="4" borderId="39" xfId="1" applyFont="1" applyFill="1" applyBorder="1" applyAlignment="1">
      <alignment horizontal="center"/>
    </xf>
    <xf numFmtId="0" fontId="3" fillId="4" borderId="30" xfId="1" applyFont="1" applyFill="1" applyBorder="1"/>
    <xf numFmtId="0" fontId="3" fillId="4" borderId="0" xfId="1" applyFont="1" applyFill="1" applyBorder="1"/>
    <xf numFmtId="0" fontId="3" fillId="4" borderId="0" xfId="1" applyFont="1" applyFill="1" applyBorder="1" applyAlignment="1">
      <alignment horizontal="center"/>
    </xf>
    <xf numFmtId="0" fontId="3" fillId="4" borderId="33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 vertical="center"/>
    </xf>
    <xf numFmtId="0" fontId="6" fillId="3" borderId="30" xfId="1" applyFont="1" applyFill="1" applyBorder="1" applyAlignment="1">
      <alignment horizontal="left" vertical="center"/>
    </xf>
    <xf numFmtId="14" fontId="6" fillId="3" borderId="0" xfId="1" applyNumberFormat="1" applyFont="1" applyFill="1" applyBorder="1" applyAlignment="1">
      <alignment horizontal="center" vertical="center"/>
    </xf>
    <xf numFmtId="14" fontId="6" fillId="3" borderId="33" xfId="1" applyNumberFormat="1" applyFont="1" applyFill="1" applyBorder="1" applyAlignment="1">
      <alignment horizontal="center" vertical="center"/>
    </xf>
    <xf numFmtId="14" fontId="10" fillId="3" borderId="0" xfId="1" applyNumberFormat="1" applyFont="1" applyFill="1" applyBorder="1" applyAlignment="1">
      <alignment horizontal="center" vertical="center"/>
    </xf>
    <xf numFmtId="0" fontId="8" fillId="3" borderId="30" xfId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50" fillId="3" borderId="0" xfId="1" applyFont="1" applyFill="1" applyBorder="1"/>
    <xf numFmtId="0" fontId="50" fillId="3" borderId="33" xfId="1" applyFont="1" applyFill="1" applyBorder="1"/>
    <xf numFmtId="0" fontId="6" fillId="3" borderId="0" xfId="1" applyFont="1" applyFill="1" applyBorder="1" applyAlignment="1">
      <alignment vertical="center"/>
    </xf>
    <xf numFmtId="0" fontId="6" fillId="3" borderId="38" xfId="1" applyFont="1" applyFill="1" applyBorder="1" applyAlignment="1">
      <alignment vertical="center"/>
    </xf>
    <xf numFmtId="0" fontId="6" fillId="3" borderId="5" xfId="1" applyFont="1" applyFill="1" applyBorder="1" applyAlignment="1">
      <alignment vertical="center"/>
    </xf>
    <xf numFmtId="5" fontId="6" fillId="3" borderId="5" xfId="1" applyNumberFormat="1" applyFont="1" applyFill="1" applyBorder="1" applyAlignment="1">
      <alignment vertical="center"/>
    </xf>
    <xf numFmtId="5" fontId="6" fillId="3" borderId="39" xfId="1" applyNumberFormat="1" applyFont="1" applyFill="1" applyBorder="1" applyAlignment="1">
      <alignment vertical="center"/>
    </xf>
    <xf numFmtId="0" fontId="6" fillId="3" borderId="30" xfId="1" applyFont="1" applyFill="1" applyBorder="1" applyAlignment="1">
      <alignment vertical="center"/>
    </xf>
    <xf numFmtId="5" fontId="6" fillId="3" borderId="0" xfId="1" applyNumberFormat="1" applyFont="1" applyFill="1" applyBorder="1" applyAlignment="1">
      <alignment vertical="center"/>
    </xf>
    <xf numFmtId="5" fontId="6" fillId="3" borderId="33" xfId="1" applyNumberFormat="1" applyFont="1" applyFill="1" applyBorder="1" applyAlignment="1">
      <alignment vertical="center"/>
    </xf>
    <xf numFmtId="166" fontId="6" fillId="3" borderId="5" xfId="1" applyNumberFormat="1" applyFont="1" applyFill="1" applyBorder="1" applyAlignment="1">
      <alignment vertical="center"/>
    </xf>
    <xf numFmtId="166" fontId="6" fillId="3" borderId="39" xfId="1" applyNumberFormat="1" applyFont="1" applyFill="1" applyBorder="1" applyAlignment="1">
      <alignment vertical="center"/>
    </xf>
    <xf numFmtId="0" fontId="6" fillId="3" borderId="31" xfId="1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14" fontId="6" fillId="3" borderId="1" xfId="1" applyNumberFormat="1" applyFont="1" applyFill="1" applyBorder="1" applyAlignment="1">
      <alignment horizontal="center" vertical="center"/>
    </xf>
    <xf numFmtId="14" fontId="6" fillId="3" borderId="34" xfId="1" applyNumberFormat="1" applyFont="1" applyFill="1" applyBorder="1" applyAlignment="1">
      <alignment horizontal="center" vertical="center"/>
    </xf>
    <xf numFmtId="166" fontId="6" fillId="3" borderId="1" xfId="1" applyNumberFormat="1" applyFont="1" applyFill="1" applyBorder="1" applyAlignment="1">
      <alignment vertical="center"/>
    </xf>
    <xf numFmtId="166" fontId="6" fillId="3" borderId="34" xfId="1" applyNumberFormat="1" applyFont="1" applyFill="1" applyBorder="1" applyAlignment="1">
      <alignment vertical="center"/>
    </xf>
    <xf numFmtId="37" fontId="8" fillId="3" borderId="0" xfId="1" applyNumberFormat="1" applyFont="1" applyFill="1" applyBorder="1" applyAlignment="1">
      <alignment horizontal="center" vertical="center"/>
    </xf>
    <xf numFmtId="37" fontId="6" fillId="3" borderId="0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33" xfId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vertical="center"/>
    </xf>
    <xf numFmtId="166" fontId="6" fillId="3" borderId="33" xfId="1" applyNumberFormat="1" applyFont="1" applyFill="1" applyBorder="1" applyAlignment="1">
      <alignment vertical="center"/>
    </xf>
    <xf numFmtId="0" fontId="8" fillId="3" borderId="30" xfId="1" applyFont="1" applyFill="1" applyBorder="1" applyAlignment="1">
      <alignment horizontal="left" vertical="center"/>
    </xf>
    <xf numFmtId="37" fontId="6" fillId="3" borderId="33" xfId="1" applyNumberFormat="1" applyFont="1" applyFill="1" applyBorder="1" applyAlignment="1">
      <alignment horizontal="center" vertical="center"/>
    </xf>
    <xf numFmtId="0" fontId="6" fillId="3" borderId="30" xfId="1" applyFont="1" applyFill="1" applyBorder="1" applyAlignment="1">
      <alignment horizontal="left" vertical="center" indent="1"/>
    </xf>
    <xf numFmtId="37" fontId="9" fillId="3" borderId="0" xfId="1" applyNumberFormat="1" applyFont="1" applyFill="1" applyBorder="1" applyAlignment="1">
      <alignment horizontal="center" vertical="center"/>
    </xf>
    <xf numFmtId="169" fontId="6" fillId="3" borderId="1" xfId="1" applyNumberFormat="1" applyFont="1" applyFill="1" applyBorder="1" applyAlignment="1">
      <alignment vertical="center"/>
    </xf>
    <xf numFmtId="169" fontId="6" fillId="3" borderId="34" xfId="1" applyNumberFormat="1" applyFont="1" applyFill="1" applyBorder="1" applyAlignment="1">
      <alignment vertical="center"/>
    </xf>
    <xf numFmtId="0" fontId="11" fillId="3" borderId="30" xfId="1" applyFont="1" applyFill="1" applyBorder="1"/>
    <xf numFmtId="0" fontId="5" fillId="3" borderId="0" xfId="1" applyFont="1" applyFill="1" applyBorder="1"/>
    <xf numFmtId="0" fontId="5" fillId="3" borderId="33" xfId="1" applyFont="1" applyFill="1" applyBorder="1"/>
    <xf numFmtId="0" fontId="6" fillId="3" borderId="4" xfId="1" applyFont="1" applyFill="1" applyBorder="1" applyAlignment="1">
      <alignment horizontal="left" vertical="center"/>
    </xf>
    <xf numFmtId="0" fontId="50" fillId="3" borderId="3" xfId="1" applyFont="1" applyFill="1" applyBorder="1"/>
    <xf numFmtId="37" fontId="8" fillId="3" borderId="3" xfId="1" applyNumberFormat="1" applyFont="1" applyFill="1" applyBorder="1" applyAlignment="1">
      <alignment horizontal="center" vertical="center"/>
    </xf>
    <xf numFmtId="37" fontId="6" fillId="3" borderId="3" xfId="1" applyNumberFormat="1" applyFont="1" applyFill="1" applyBorder="1" applyAlignment="1">
      <alignment horizontal="center" vertical="center"/>
    </xf>
    <xf numFmtId="37" fontId="6" fillId="3" borderId="35" xfId="1" applyNumberFormat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left" indent="1"/>
    </xf>
    <xf numFmtId="10" fontId="5" fillId="3" borderId="0" xfId="1" applyNumberFormat="1" applyFont="1" applyFill="1" applyBorder="1"/>
    <xf numFmtId="10" fontId="5" fillId="3" borderId="33" xfId="1" applyNumberFormat="1" applyFont="1" applyFill="1" applyBorder="1"/>
    <xf numFmtId="5" fontId="5" fillId="3" borderId="0" xfId="1" applyNumberFormat="1" applyFont="1" applyFill="1" applyBorder="1"/>
    <xf numFmtId="5" fontId="5" fillId="3" borderId="33" xfId="1" applyNumberFormat="1" applyFont="1" applyFill="1" applyBorder="1"/>
    <xf numFmtId="9" fontId="5" fillId="3" borderId="0" xfId="1" applyNumberFormat="1" applyFont="1" applyFill="1" applyBorder="1"/>
    <xf numFmtId="9" fontId="5" fillId="3" borderId="33" xfId="1" applyNumberFormat="1" applyFont="1" applyFill="1" applyBorder="1"/>
    <xf numFmtId="0" fontId="6" fillId="3" borderId="0" xfId="1" applyFont="1" applyFill="1" applyAlignment="1">
      <alignment vertical="center"/>
    </xf>
    <xf numFmtId="5" fontId="6" fillId="3" borderId="0" xfId="1" applyNumberFormat="1" applyFont="1" applyFill="1" applyBorder="1" applyAlignment="1">
      <alignment horizontal="left" vertical="center" indent="1"/>
    </xf>
    <xf numFmtId="0" fontId="3" fillId="4" borderId="0" xfId="1" applyFont="1" applyFill="1" applyBorder="1" applyAlignment="1">
      <alignment horizontal="center" vertical="center" wrapText="1"/>
    </xf>
    <xf numFmtId="0" fontId="22" fillId="3" borderId="0" xfId="1" applyFont="1" applyFill="1" applyBorder="1" applyAlignment="1">
      <alignment horizontal="left" vertical="center" indent="1"/>
    </xf>
    <xf numFmtId="0" fontId="6" fillId="13" borderId="4" xfId="1" applyFont="1" applyFill="1" applyBorder="1" applyAlignment="1">
      <alignment horizontal="left" vertical="center"/>
    </xf>
    <xf numFmtId="0" fontId="51" fillId="13" borderId="3" xfId="1" applyFont="1" applyFill="1" applyBorder="1"/>
    <xf numFmtId="37" fontId="8" fillId="13" borderId="3" xfId="1" applyNumberFormat="1" applyFont="1" applyFill="1" applyBorder="1" applyAlignment="1">
      <alignment horizontal="center" vertical="center"/>
    </xf>
    <xf numFmtId="37" fontId="6" fillId="13" borderId="3" xfId="1" applyNumberFormat="1" applyFont="1" applyFill="1" applyBorder="1" applyAlignment="1">
      <alignment horizontal="center" vertical="center"/>
    </xf>
    <xf numFmtId="37" fontId="6" fillId="13" borderId="35" xfId="1" applyNumberFormat="1" applyFont="1" applyFill="1" applyBorder="1" applyAlignment="1">
      <alignment horizontal="center" vertical="center"/>
    </xf>
    <xf numFmtId="0" fontId="52" fillId="3" borderId="0" xfId="1" applyFont="1" applyFill="1"/>
    <xf numFmtId="5" fontId="11" fillId="3" borderId="0" xfId="1" applyNumberFormat="1" applyFont="1" applyFill="1" applyBorder="1"/>
    <xf numFmtId="5" fontId="11" fillId="3" borderId="33" xfId="1" applyNumberFormat="1" applyFont="1" applyFill="1" applyBorder="1"/>
    <xf numFmtId="0" fontId="11" fillId="3" borderId="31" xfId="1" applyFont="1" applyFill="1" applyBorder="1"/>
    <xf numFmtId="0" fontId="50" fillId="3" borderId="1" xfId="1" applyFont="1" applyFill="1" applyBorder="1"/>
    <xf numFmtId="5" fontId="11" fillId="3" borderId="1" xfId="1" applyNumberFormat="1" applyFont="1" applyFill="1" applyBorder="1"/>
    <xf numFmtId="5" fontId="11" fillId="3" borderId="34" xfId="1" applyNumberFormat="1" applyFont="1" applyFill="1" applyBorder="1"/>
    <xf numFmtId="0" fontId="3" fillId="4" borderId="31" xfId="1" applyFont="1" applyFill="1" applyBorder="1"/>
    <xf numFmtId="0" fontId="3" fillId="4" borderId="1" xfId="1" applyFont="1" applyFill="1" applyBorder="1"/>
    <xf numFmtId="0" fontId="3" fillId="4" borderId="1" xfId="1" applyFont="1" applyFill="1" applyBorder="1" applyAlignment="1">
      <alignment horizontal="center"/>
    </xf>
    <xf numFmtId="0" fontId="3" fillId="4" borderId="34" xfId="1" applyFont="1" applyFill="1" applyBorder="1" applyAlignment="1">
      <alignment horizontal="center"/>
    </xf>
    <xf numFmtId="0" fontId="22" fillId="3" borderId="30" xfId="1" applyFont="1" applyFill="1" applyBorder="1" applyAlignment="1">
      <alignment horizontal="left" vertical="center" indent="1"/>
    </xf>
    <xf numFmtId="5" fontId="6" fillId="3" borderId="0" xfId="1" applyNumberFormat="1" applyFont="1" applyFill="1" applyBorder="1" applyAlignment="1">
      <alignment horizontal="center" vertical="center"/>
    </xf>
    <xf numFmtId="9" fontId="9" fillId="3" borderId="0" xfId="1" applyNumberFormat="1" applyFont="1" applyFill="1" applyBorder="1" applyAlignment="1">
      <alignment horizontal="center" vertical="center"/>
    </xf>
    <xf numFmtId="9" fontId="9" fillId="3" borderId="33" xfId="1" applyNumberFormat="1" applyFont="1" applyFill="1" applyBorder="1" applyAlignment="1">
      <alignment horizontal="center" vertical="center"/>
    </xf>
    <xf numFmtId="5" fontId="9" fillId="3" borderId="0" xfId="1" applyNumberFormat="1" applyFont="1" applyFill="1" applyBorder="1" applyAlignment="1">
      <alignment horizontal="center" vertical="center"/>
    </xf>
    <xf numFmtId="5" fontId="9" fillId="3" borderId="33" xfId="1" applyNumberFormat="1" applyFont="1" applyFill="1" applyBorder="1" applyAlignment="1">
      <alignment horizontal="center" vertical="center"/>
    </xf>
    <xf numFmtId="0" fontId="22" fillId="3" borderId="0" xfId="1" applyFont="1" applyFill="1" applyBorder="1" applyAlignment="1">
      <alignment horizontal="center" vertical="center"/>
    </xf>
    <xf numFmtId="0" fontId="53" fillId="3" borderId="0" xfId="1" applyFont="1" applyFill="1" applyBorder="1" applyAlignment="1">
      <alignment horizontal="center" vertical="center"/>
    </xf>
    <xf numFmtId="0" fontId="53" fillId="3" borderId="33" xfId="1" applyFont="1" applyFill="1" applyBorder="1" applyAlignment="1">
      <alignment horizontal="center" vertical="center"/>
    </xf>
    <xf numFmtId="0" fontId="3" fillId="4" borderId="5" xfId="1" applyFont="1" applyFill="1" applyBorder="1" applyAlignment="1"/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4" borderId="34" xfId="1" applyFont="1" applyFill="1" applyBorder="1" applyAlignment="1">
      <alignment horizontal="center" vertical="center"/>
    </xf>
    <xf numFmtId="0" fontId="8" fillId="13" borderId="38" xfId="1" applyFont="1" applyFill="1" applyBorder="1" applyAlignment="1">
      <alignment horizontal="left" vertical="center"/>
    </xf>
    <xf numFmtId="0" fontId="50" fillId="3" borderId="5" xfId="1" applyFont="1" applyFill="1" applyBorder="1"/>
    <xf numFmtId="0" fontId="50" fillId="3" borderId="39" xfId="1" applyFont="1" applyFill="1" applyBorder="1"/>
    <xf numFmtId="0" fontId="6" fillId="13" borderId="30" xfId="1" applyFont="1" applyFill="1" applyBorder="1" applyAlignment="1">
      <alignment horizontal="left" vertical="center" indent="1"/>
    </xf>
    <xf numFmtId="5" fontId="5" fillId="3" borderId="0" xfId="1" applyNumberFormat="1" applyFont="1" applyFill="1" applyBorder="1" applyAlignment="1">
      <alignment horizontal="center"/>
    </xf>
    <xf numFmtId="9" fontId="5" fillId="3" borderId="0" xfId="1" applyNumberFormat="1" applyFont="1" applyFill="1" applyBorder="1" applyAlignment="1">
      <alignment horizontal="center"/>
    </xf>
    <xf numFmtId="9" fontId="5" fillId="3" borderId="33" xfId="1" applyNumberFormat="1" applyFont="1" applyFill="1" applyBorder="1" applyAlignment="1">
      <alignment horizontal="center"/>
    </xf>
    <xf numFmtId="0" fontId="52" fillId="3" borderId="0" xfId="1" applyFont="1" applyFill="1" applyBorder="1" applyAlignment="1">
      <alignment horizontal="center"/>
    </xf>
    <xf numFmtId="0" fontId="54" fillId="3" borderId="0" xfId="1" applyFont="1" applyFill="1" applyBorder="1" applyAlignment="1">
      <alignment horizontal="center"/>
    </xf>
    <xf numFmtId="0" fontId="54" fillId="3" borderId="33" xfId="1" applyFont="1" applyFill="1" applyBorder="1" applyAlignment="1">
      <alignment horizontal="center"/>
    </xf>
    <xf numFmtId="5" fontId="5" fillId="3" borderId="3" xfId="1" applyNumberFormat="1" applyFont="1" applyFill="1" applyBorder="1" applyAlignment="1">
      <alignment horizontal="center"/>
    </xf>
    <xf numFmtId="5" fontId="5" fillId="3" borderId="35" xfId="1" applyNumberFormat="1" applyFont="1" applyFill="1" applyBorder="1" applyAlignment="1">
      <alignment horizontal="center"/>
    </xf>
    <xf numFmtId="0" fontId="5" fillId="3" borderId="5" xfId="1" applyFont="1" applyFill="1" applyBorder="1"/>
    <xf numFmtId="0" fontId="5" fillId="3" borderId="39" xfId="1" applyFont="1" applyFill="1" applyBorder="1"/>
    <xf numFmtId="0" fontId="3" fillId="4" borderId="5" xfId="1" applyFont="1" applyFill="1" applyBorder="1" applyAlignment="1">
      <alignment horizontal="center"/>
    </xf>
    <xf numFmtId="9" fontId="6" fillId="3" borderId="0" xfId="1" applyNumberFormat="1" applyFont="1" applyFill="1" applyBorder="1" applyAlignment="1">
      <alignment horizontal="center" vertical="center"/>
    </xf>
    <xf numFmtId="9" fontId="6" fillId="3" borderId="33" xfId="1" applyNumberFormat="1" applyFont="1" applyFill="1" applyBorder="1" applyAlignment="1">
      <alignment horizontal="center" vertical="center"/>
    </xf>
    <xf numFmtId="9" fontId="5" fillId="3" borderId="3" xfId="1" applyNumberFormat="1" applyFont="1" applyFill="1" applyBorder="1" applyAlignment="1">
      <alignment horizontal="center"/>
    </xf>
    <xf numFmtId="9" fontId="6" fillId="3" borderId="35" xfId="1" applyNumberFormat="1" applyFont="1" applyFill="1" applyBorder="1" applyAlignment="1">
      <alignment horizontal="center" vertical="center"/>
    </xf>
    <xf numFmtId="9" fontId="5" fillId="3" borderId="35" xfId="1" applyNumberFormat="1" applyFont="1" applyFill="1" applyBorder="1" applyAlignment="1">
      <alignment horizontal="center"/>
    </xf>
    <xf numFmtId="0" fontId="55" fillId="14" borderId="38" xfId="1" applyFont="1" applyFill="1" applyBorder="1"/>
    <xf numFmtId="0" fontId="55" fillId="14" borderId="5" xfId="1" applyFont="1" applyFill="1" applyBorder="1"/>
    <xf numFmtId="0" fontId="55" fillId="14" borderId="5" xfId="1" applyFont="1" applyFill="1" applyBorder="1" applyAlignment="1">
      <alignment horizontal="center"/>
    </xf>
    <xf numFmtId="0" fontId="55" fillId="14" borderId="30" xfId="1" applyFont="1" applyFill="1" applyBorder="1"/>
    <xf numFmtId="0" fontId="55" fillId="14" borderId="0" xfId="1" applyFont="1" applyFill="1" applyBorder="1"/>
    <xf numFmtId="0" fontId="55" fillId="14" borderId="0" xfId="1" applyFont="1" applyFill="1" applyBorder="1" applyAlignment="1">
      <alignment horizontal="center" vertical="center" wrapText="1"/>
    </xf>
    <xf numFmtId="0" fontId="55" fillId="14" borderId="0" xfId="1" applyFont="1" applyFill="1" applyBorder="1" applyAlignment="1">
      <alignment horizontal="center" vertical="center"/>
    </xf>
    <xf numFmtId="0" fontId="55" fillId="14" borderId="33" xfId="1" applyFont="1" applyFill="1" applyBorder="1" applyAlignment="1">
      <alignment horizontal="center" vertical="center"/>
    </xf>
    <xf numFmtId="5" fontId="5" fillId="3" borderId="33" xfId="1" applyNumberFormat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5" fontId="5" fillId="3" borderId="1" xfId="1" applyNumberFormat="1" applyFont="1" applyFill="1" applyBorder="1" applyAlignment="1">
      <alignment horizontal="center"/>
    </xf>
    <xf numFmtId="5" fontId="5" fillId="3" borderId="34" xfId="1" applyNumberFormat="1" applyFont="1" applyFill="1" applyBorder="1" applyAlignment="1">
      <alignment horizontal="center"/>
    </xf>
    <xf numFmtId="0" fontId="55" fillId="14" borderId="5" xfId="1" applyFont="1" applyFill="1" applyBorder="1" applyAlignment="1"/>
    <xf numFmtId="0" fontId="55" fillId="14" borderId="40" xfId="1" applyFont="1" applyFill="1" applyBorder="1" applyAlignment="1"/>
    <xf numFmtId="0" fontId="55" fillId="14" borderId="0" xfId="1" applyFont="1" applyFill="1"/>
    <xf numFmtId="0" fontId="55" fillId="14" borderId="0" xfId="1" applyFont="1" applyFill="1" applyAlignment="1">
      <alignment horizontal="center" vertical="center" wrapText="1"/>
    </xf>
    <xf numFmtId="0" fontId="55" fillId="14" borderId="0" xfId="1" applyFont="1" applyFill="1" applyAlignment="1">
      <alignment horizontal="center" vertical="center"/>
    </xf>
    <xf numFmtId="0" fontId="6" fillId="3" borderId="31" xfId="1" applyFont="1" applyFill="1" applyBorder="1" applyAlignment="1">
      <alignment horizontal="left" vertical="center" indent="1"/>
    </xf>
    <xf numFmtId="0" fontId="8" fillId="13" borderId="30" xfId="1" applyFont="1" applyFill="1" applyBorder="1" applyAlignment="1">
      <alignment horizontal="left" vertical="center"/>
    </xf>
    <xf numFmtId="0" fontId="51" fillId="13" borderId="0" xfId="1" applyFont="1" applyFill="1"/>
    <xf numFmtId="37" fontId="8" fillId="13" borderId="0" xfId="1" applyNumberFormat="1" applyFont="1" applyFill="1" applyAlignment="1">
      <alignment horizontal="center" vertical="center"/>
    </xf>
    <xf numFmtId="0" fontId="51" fillId="13" borderId="33" xfId="1" applyFont="1" applyFill="1" applyBorder="1"/>
    <xf numFmtId="37" fontId="9" fillId="13" borderId="0" xfId="1" applyNumberFormat="1" applyFont="1" applyFill="1" applyAlignment="1">
      <alignment horizontal="center" vertical="center"/>
    </xf>
    <xf numFmtId="37" fontId="6" fillId="13" borderId="0" xfId="1" applyNumberFormat="1" applyFont="1" applyFill="1" applyAlignment="1">
      <alignment horizontal="center" vertical="center"/>
    </xf>
    <xf numFmtId="9" fontId="6" fillId="13" borderId="0" xfId="1" applyNumberFormat="1" applyFont="1" applyFill="1" applyAlignment="1">
      <alignment horizontal="center" vertical="center"/>
    </xf>
    <xf numFmtId="9" fontId="6" fillId="13" borderId="33" xfId="1" applyNumberFormat="1" applyFont="1" applyFill="1" applyBorder="1" applyAlignment="1">
      <alignment horizontal="center" vertical="center"/>
    </xf>
    <xf numFmtId="9" fontId="6" fillId="13" borderId="3" xfId="1" applyNumberFormat="1" applyFont="1" applyFill="1" applyBorder="1" applyAlignment="1">
      <alignment horizontal="center" vertical="center"/>
    </xf>
    <xf numFmtId="9" fontId="6" fillId="13" borderId="3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37" fontId="6" fillId="15" borderId="3" xfId="1" applyNumberFormat="1" applyFont="1" applyFill="1" applyBorder="1" applyAlignment="1">
      <alignment horizontal="center" vertical="center"/>
    </xf>
    <xf numFmtId="37" fontId="10" fillId="3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0" fontId="57" fillId="0" borderId="0" xfId="0" applyFont="1"/>
    <xf numFmtId="0" fontId="57" fillId="3" borderId="0" xfId="0" applyFont="1" applyFill="1"/>
    <xf numFmtId="0" fontId="58" fillId="3" borderId="0" xfId="0" applyFont="1" applyFill="1" applyAlignment="1">
      <alignment horizontal="center"/>
    </xf>
    <xf numFmtId="0" fontId="60" fillId="12" borderId="0" xfId="0" applyFont="1" applyFill="1"/>
    <xf numFmtId="164" fontId="61" fillId="12" borderId="0" xfId="0" applyNumberFormat="1" applyFont="1" applyFill="1"/>
    <xf numFmtId="164" fontId="57" fillId="12" borderId="0" xfId="0" applyNumberFormat="1" applyFont="1" applyFill="1"/>
    <xf numFmtId="5" fontId="57" fillId="3" borderId="0" xfId="0" applyNumberFormat="1" applyFont="1" applyFill="1"/>
    <xf numFmtId="0" fontId="60" fillId="0" borderId="0" xfId="0" applyFont="1"/>
    <xf numFmtId="164" fontId="61" fillId="0" borderId="0" xfId="0" applyNumberFormat="1" applyFont="1"/>
    <xf numFmtId="164" fontId="57" fillId="3" borderId="0" xfId="0" applyNumberFormat="1" applyFont="1" applyFill="1"/>
    <xf numFmtId="164" fontId="57" fillId="0" borderId="0" xfId="0" applyNumberFormat="1" applyFont="1"/>
    <xf numFmtId="0" fontId="58" fillId="16" borderId="0" xfId="0" applyFont="1" applyFill="1" applyBorder="1"/>
    <xf numFmtId="0" fontId="59" fillId="16" borderId="0" xfId="0" applyFont="1" applyFill="1"/>
    <xf numFmtId="0" fontId="58" fillId="16" borderId="0" xfId="0" applyFont="1" applyFill="1" applyBorder="1" applyAlignment="1">
      <alignment horizontal="center"/>
    </xf>
    <xf numFmtId="0" fontId="58" fillId="16" borderId="0" xfId="0" applyFont="1" applyFill="1" applyAlignment="1">
      <alignment horizontal="center"/>
    </xf>
    <xf numFmtId="0" fontId="58" fillId="16" borderId="0" xfId="0" applyFont="1" applyFill="1"/>
    <xf numFmtId="0" fontId="58" fillId="16" borderId="8" xfId="0" applyFont="1" applyFill="1" applyBorder="1"/>
    <xf numFmtId="164" fontId="58" fillId="16" borderId="8" xfId="0" applyNumberFormat="1" applyFont="1" applyFill="1" applyBorder="1"/>
    <xf numFmtId="164" fontId="59" fillId="16" borderId="8" xfId="0" applyNumberFormat="1" applyFont="1" applyFill="1" applyBorder="1"/>
    <xf numFmtId="168" fontId="5" fillId="3" borderId="0" xfId="1" applyNumberFormat="1" applyFont="1" applyFill="1" applyBorder="1"/>
    <xf numFmtId="0" fontId="30" fillId="3" borderId="0" xfId="1" applyFont="1" applyFill="1"/>
    <xf numFmtId="7" fontId="50" fillId="3" borderId="0" xfId="1" applyNumberFormat="1" applyFont="1" applyFill="1"/>
    <xf numFmtId="0" fontId="6" fillId="0" borderId="1" xfId="1" applyFont="1" applyBorder="1"/>
    <xf numFmtId="0" fontId="6" fillId="3" borderId="4" xfId="1" applyFont="1" applyFill="1" applyBorder="1" applyAlignment="1">
      <alignment horizontal="left" vertical="center" indent="1"/>
    </xf>
    <xf numFmtId="0" fontId="8" fillId="3" borderId="3" xfId="1" applyFont="1" applyFill="1" applyBorder="1" applyAlignment="1">
      <alignment horizontal="center" vertical="center"/>
    </xf>
    <xf numFmtId="5" fontId="6" fillId="3" borderId="3" xfId="1" applyNumberFormat="1" applyFont="1" applyFill="1" applyBorder="1" applyAlignment="1">
      <alignment horizontal="center" vertical="center"/>
    </xf>
    <xf numFmtId="5" fontId="9" fillId="3" borderId="3" xfId="1" applyNumberFormat="1" applyFont="1" applyFill="1" applyBorder="1" applyAlignment="1">
      <alignment horizontal="center" vertical="center"/>
    </xf>
    <xf numFmtId="5" fontId="9" fillId="3" borderId="35" xfId="1" applyNumberFormat="1" applyFont="1" applyFill="1" applyBorder="1" applyAlignment="1">
      <alignment horizontal="center" vertical="center"/>
    </xf>
    <xf numFmtId="164" fontId="5" fillId="3" borderId="0" xfId="1" applyNumberFormat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"/>
    </xf>
    <xf numFmtId="164" fontId="5" fillId="3" borderId="5" xfId="1" applyNumberFormat="1" applyFont="1" applyFill="1" applyBorder="1"/>
    <xf numFmtId="164" fontId="6" fillId="15" borderId="0" xfId="1" applyNumberFormat="1" applyFont="1" applyFill="1" applyAlignment="1">
      <alignment horizontal="center" vertical="center"/>
    </xf>
    <xf numFmtId="164" fontId="6" fillId="15" borderId="3" xfId="1" applyNumberFormat="1" applyFont="1" applyFill="1" applyBorder="1" applyAlignment="1">
      <alignment horizontal="center" vertical="center"/>
    </xf>
    <xf numFmtId="164" fontId="51" fillId="15" borderId="0" xfId="1" applyNumberFormat="1" applyFont="1" applyFill="1"/>
    <xf numFmtId="0" fontId="5" fillId="3" borderId="0" xfId="0" applyFont="1" applyFill="1" applyBorder="1" applyAlignment="1">
      <alignment horizontal="center"/>
    </xf>
    <xf numFmtId="0" fontId="5" fillId="3" borderId="15" xfId="0" applyFont="1" applyFill="1" applyBorder="1"/>
    <xf numFmtId="0" fontId="30" fillId="3" borderId="0" xfId="0" applyFont="1" applyFill="1" applyBorder="1" applyAlignment="1">
      <alignment horizontal="left" indent="1"/>
    </xf>
    <xf numFmtId="8" fontId="6" fillId="3" borderId="0" xfId="1" applyNumberFormat="1" applyFont="1" applyFill="1" applyBorder="1"/>
    <xf numFmtId="0" fontId="6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wrapText="1"/>
    </xf>
    <xf numFmtId="5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10" xfId="1" applyFont="1" applyBorder="1" applyAlignment="1">
      <alignment horizontal="center" vertical="center"/>
    </xf>
    <xf numFmtId="171" fontId="6" fillId="0" borderId="0" xfId="1" applyNumberFormat="1" applyFont="1" applyFill="1" applyBorder="1" applyAlignment="1">
      <alignment horizontal="center"/>
    </xf>
    <xf numFmtId="5" fontId="6" fillId="0" borderId="0" xfId="1" applyNumberFormat="1" applyFont="1" applyFill="1" applyBorder="1" applyAlignment="1">
      <alignment horizontal="center"/>
    </xf>
    <xf numFmtId="5" fontId="8" fillId="5" borderId="3" xfId="1" applyNumberFormat="1" applyFont="1" applyFill="1" applyBorder="1" applyAlignment="1">
      <alignment horizontal="center"/>
    </xf>
    <xf numFmtId="0" fontId="8" fillId="5" borderId="3" xfId="1" applyFont="1" applyFill="1" applyBorder="1" applyAlignment="1">
      <alignment horizontal="center"/>
    </xf>
    <xf numFmtId="5" fontId="6" fillId="0" borderId="5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16" fillId="0" borderId="5" xfId="1" applyFont="1" applyBorder="1" applyAlignment="1">
      <alignment horizontal="left" vertical="center" wrapText="1"/>
    </xf>
    <xf numFmtId="5" fontId="6" fillId="0" borderId="0" xfId="1" applyNumberFormat="1" applyFont="1" applyAlignment="1">
      <alignment horizontal="right"/>
    </xf>
    <xf numFmtId="5" fontId="6" fillId="0" borderId="0" xfId="1" applyNumberFormat="1" applyFont="1" applyBorder="1" applyAlignment="1"/>
    <xf numFmtId="0" fontId="6" fillId="0" borderId="0" xfId="1" applyFont="1" applyBorder="1" applyAlignment="1"/>
    <xf numFmtId="0" fontId="8" fillId="0" borderId="3" xfId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5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5" fontId="6" fillId="0" borderId="0" xfId="1" applyNumberFormat="1" applyFont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34" fillId="5" borderId="3" xfId="1" applyFont="1" applyFill="1" applyBorder="1" applyAlignment="1">
      <alignment horizontal="center"/>
    </xf>
    <xf numFmtId="5" fontId="8" fillId="5" borderId="3" xfId="1" applyNumberFormat="1" applyFont="1" applyFill="1" applyBorder="1" applyAlignment="1">
      <alignment horizontal="right"/>
    </xf>
    <xf numFmtId="0" fontId="8" fillId="5" borderId="3" xfId="1" applyFont="1" applyFill="1" applyBorder="1" applyAlignment="1">
      <alignment horizontal="right"/>
    </xf>
    <xf numFmtId="5" fontId="8" fillId="0" borderId="3" xfId="1" applyNumberFormat="1" applyFont="1" applyBorder="1" applyAlignment="1">
      <alignment horizontal="right"/>
    </xf>
    <xf numFmtId="0" fontId="6" fillId="0" borderId="3" xfId="1" applyFont="1" applyFill="1" applyBorder="1" applyAlignment="1"/>
    <xf numFmtId="5" fontId="6" fillId="0" borderId="3" xfId="1" applyNumberFormat="1" applyFont="1" applyBorder="1" applyAlignment="1"/>
    <xf numFmtId="0" fontId="6" fillId="0" borderId="3" xfId="1" applyFont="1" applyBorder="1" applyAlignment="1"/>
    <xf numFmtId="0" fontId="3" fillId="4" borderId="0" xfId="0" applyFont="1" applyFill="1" applyAlignment="1">
      <alignment horizontal="center" vertical="center"/>
    </xf>
    <xf numFmtId="0" fontId="9" fillId="0" borderId="5" xfId="1" applyFont="1" applyBorder="1" applyAlignment="1">
      <alignment horizontal="left" wrapText="1"/>
    </xf>
    <xf numFmtId="0" fontId="6" fillId="0" borderId="0" xfId="1" applyFont="1" applyBorder="1" applyAlignment="1">
      <alignment horizontal="left" indent="1"/>
    </xf>
    <xf numFmtId="0" fontId="6" fillId="3" borderId="5" xfId="1" applyFont="1" applyFill="1" applyBorder="1" applyAlignment="1">
      <alignment horizontal="left"/>
    </xf>
    <xf numFmtId="0" fontId="8" fillId="3" borderId="3" xfId="1" applyFont="1" applyFill="1" applyBorder="1" applyAlignment="1">
      <alignment horizontal="left"/>
    </xf>
    <xf numFmtId="5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1" xfId="1" applyFont="1" applyBorder="1" applyAlignment="1">
      <alignment horizontal="center"/>
    </xf>
    <xf numFmtId="0" fontId="33" fillId="0" borderId="1" xfId="1" applyFont="1" applyBorder="1" applyAlignment="1">
      <alignment horizontal="center" wrapText="1"/>
    </xf>
    <xf numFmtId="0" fontId="6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16" fillId="0" borderId="5" xfId="1" applyFont="1" applyBorder="1" applyAlignment="1">
      <alignment horizontal="left"/>
    </xf>
    <xf numFmtId="0" fontId="3" fillId="4" borderId="5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/>
    </xf>
    <xf numFmtId="0" fontId="3" fillId="4" borderId="39" xfId="1" applyFont="1" applyFill="1" applyBorder="1" applyAlignment="1">
      <alignment horizontal="center"/>
    </xf>
    <xf numFmtId="0" fontId="55" fillId="14" borderId="5" xfId="1" applyFont="1" applyFill="1" applyBorder="1" applyAlignment="1">
      <alignment horizontal="center"/>
    </xf>
    <xf numFmtId="0" fontId="55" fillId="14" borderId="39" xfId="1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wrapText="1"/>
    </xf>
    <xf numFmtId="0" fontId="58" fillId="1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4" borderId="11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left" wrapText="1"/>
    </xf>
    <xf numFmtId="0" fontId="3" fillId="4" borderId="13" xfId="0" applyFont="1" applyFill="1" applyBorder="1" applyAlignment="1">
      <alignment horizontal="left" wrapText="1"/>
    </xf>
    <xf numFmtId="0" fontId="3" fillId="4" borderId="22" xfId="0" applyFont="1" applyFill="1" applyBorder="1" applyAlignment="1">
      <alignment horizontal="left" wrapText="1"/>
    </xf>
    <xf numFmtId="0" fontId="3" fillId="4" borderId="23" xfId="0" applyFont="1" applyFill="1" applyBorder="1" applyAlignment="1">
      <alignment horizontal="left" wrapText="1"/>
    </xf>
    <xf numFmtId="0" fontId="3" fillId="4" borderId="24" xfId="0" applyFont="1" applyFill="1" applyBorder="1" applyAlignment="1">
      <alignment horizontal="left" wrapText="1"/>
    </xf>
    <xf numFmtId="4" fontId="6" fillId="3" borderId="30" xfId="0" applyNumberFormat="1" applyFont="1" applyFill="1" applyBorder="1" applyAlignment="1">
      <alignment horizontal="center"/>
    </xf>
    <xf numFmtId="4" fontId="6" fillId="3" borderId="33" xfId="0" applyNumberFormat="1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10" fillId="3" borderId="30" xfId="0" applyNumberFormat="1" applyFont="1" applyFill="1" applyBorder="1" applyAlignment="1">
      <alignment horizontal="center"/>
    </xf>
    <xf numFmtId="0" fontId="10" fillId="3" borderId="33" xfId="0" applyNumberFormat="1" applyFont="1" applyFill="1" applyBorder="1" applyAlignment="1">
      <alignment horizontal="center"/>
    </xf>
    <xf numFmtId="3" fontId="10" fillId="3" borderId="30" xfId="0" applyNumberFormat="1" applyFont="1" applyFill="1" applyBorder="1" applyAlignment="1">
      <alignment horizontal="center"/>
    </xf>
    <xf numFmtId="3" fontId="10" fillId="3" borderId="33" xfId="0" applyNumberFormat="1" applyFont="1" applyFill="1" applyBorder="1" applyAlignment="1">
      <alignment horizontal="center"/>
    </xf>
    <xf numFmtId="3" fontId="6" fillId="3" borderId="30" xfId="0" applyNumberFormat="1" applyFont="1" applyFill="1" applyBorder="1" applyAlignment="1">
      <alignment horizontal="center"/>
    </xf>
    <xf numFmtId="3" fontId="6" fillId="3" borderId="33" xfId="0" applyNumberFormat="1" applyFont="1" applyFill="1" applyBorder="1" applyAlignment="1">
      <alignment horizontal="center"/>
    </xf>
    <xf numFmtId="4" fontId="6" fillId="3" borderId="31" xfId="0" applyNumberFormat="1" applyFont="1" applyFill="1" applyBorder="1" applyAlignment="1">
      <alignment horizontal="center"/>
    </xf>
    <xf numFmtId="4" fontId="6" fillId="3" borderId="34" xfId="0" applyNumberFormat="1" applyFont="1" applyFill="1" applyBorder="1" applyAlignment="1">
      <alignment horizontal="center"/>
    </xf>
    <xf numFmtId="4" fontId="6" fillId="3" borderId="32" xfId="0" applyNumberFormat="1" applyFont="1" applyFill="1" applyBorder="1" applyAlignment="1">
      <alignment horizontal="center"/>
    </xf>
    <xf numFmtId="4" fontId="6" fillId="3" borderId="36" xfId="0" applyNumberFormat="1" applyFont="1" applyFill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16" fillId="0" borderId="9" xfId="0" applyFont="1" applyBorder="1" applyAlignment="1">
      <alignment horizontal="left"/>
    </xf>
  </cellXfs>
  <cellStyles count="5">
    <cellStyle name="Followed Hyperlink" xfId="3" builtinId="9" hidden="1"/>
    <cellStyle name="Followed Hyperlink" xfId="4" builtinId="9" hidden="1"/>
    <cellStyle name="Hyperlink" xfId="2" builtinId="8"/>
    <cellStyle name="Normal" xfId="0" builtinId="0"/>
    <cellStyle name="Normal 2" xfId="1" xr:uid="{00000000-0005-0000-0000-000005000000}"/>
  </cellStyles>
  <dxfs count="0"/>
  <tableStyles count="0" defaultTableStyle="TableStyleMedium9" defaultPivotStyle="PivotStyleLight16"/>
  <colors>
    <mruColors>
      <color rgb="FFD15A5A"/>
      <color rgb="FFE1BE1D"/>
      <color rgb="FFB7B7B7"/>
      <color rgb="FF6ABBDB"/>
      <color rgb="FF871531"/>
      <color rgb="FFA89F55"/>
      <color rgb="FF577483"/>
      <color rgb="FFA17A94"/>
      <color rgb="FFB2325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Montserrat" panose="00000500000000000000" pitchFamily="50" charset="0"/>
              </a:rPr>
              <a:t>Public Benefits by SF</a:t>
            </a:r>
          </a:p>
        </c:rich>
      </c:tx>
      <c:layout>
        <c:manualLayout>
          <c:xMode val="edge"/>
          <c:yMode val="edge"/>
          <c:x val="0.56272579765148201"/>
          <c:y val="5.0072299849122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489127226109201E-2"/>
          <c:y val="4.5732464649918501E-2"/>
          <c:w val="0.35252087306796898"/>
          <c:h val="0.70476896233951203"/>
        </c:manualLayout>
      </c:layout>
      <c:doughnutChart>
        <c:varyColors val="1"/>
        <c:ser>
          <c:idx val="0"/>
          <c:order val="0"/>
          <c:spPr>
            <a:ln w="12700"/>
          </c:spPr>
          <c:dPt>
            <c:idx val="0"/>
            <c:bubble3D val="0"/>
            <c:spPr>
              <a:solidFill>
                <a:srgbClr val="D15A5A"/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30-4B18-A587-6B5E5F46E3EF}"/>
              </c:ext>
            </c:extLst>
          </c:dPt>
          <c:dPt>
            <c:idx val="1"/>
            <c:bubble3D val="0"/>
            <c:spPr>
              <a:solidFill>
                <a:srgbClr val="871531"/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30-4B18-A587-6B5E5F46E3EF}"/>
              </c:ext>
            </c:extLst>
          </c:dPt>
          <c:dPt>
            <c:idx val="2"/>
            <c:bubble3D val="0"/>
            <c:spPr>
              <a:solidFill>
                <a:srgbClr val="6ABBDB"/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A6-420A-93C2-6C65434906AA}"/>
              </c:ext>
            </c:extLst>
          </c:dPt>
          <c:dPt>
            <c:idx val="3"/>
            <c:bubble3D val="0"/>
            <c:spPr>
              <a:solidFill>
                <a:srgbClr val="B7B7B7"/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30-4B18-A587-6B5E5F46E3EF}"/>
              </c:ext>
            </c:extLst>
          </c:dPt>
          <c:dPt>
            <c:idx val="4"/>
            <c:bubble3D val="0"/>
            <c:spPr>
              <a:solidFill>
                <a:srgbClr val="A89F55"/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5A6-420A-93C2-6C65434906AA}"/>
              </c:ext>
            </c:extLst>
          </c:dPt>
          <c:dPt>
            <c:idx val="5"/>
            <c:bubble3D val="0"/>
            <c:spPr>
              <a:solidFill>
                <a:srgbClr val="E1BE1D"/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E30-4B18-A587-6B5E5F46E3EF}"/>
              </c:ext>
            </c:extLst>
          </c:dPt>
          <c:dLbls>
            <c:dLbl>
              <c:idx val="0"/>
              <c:layout>
                <c:manualLayout>
                  <c:x val="0.12999358265162"/>
                  <c:y val="-0.13287539838770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30-4B18-A587-6B5E5F46E3EF}"/>
                </c:ext>
              </c:extLst>
            </c:dLbl>
            <c:dLbl>
              <c:idx val="1"/>
              <c:layout>
                <c:manualLayout>
                  <c:x val="0.13752944251548199"/>
                  <c:y val="-8.5978198956752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30-4B18-A587-6B5E5F46E3EF}"/>
                </c:ext>
              </c:extLst>
            </c:dLbl>
            <c:dLbl>
              <c:idx val="2"/>
              <c:layout>
                <c:manualLayout>
                  <c:x val="0.13941340748144701"/>
                  <c:y val="9.7702498814491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A6-420A-93C2-6C65434906AA}"/>
                </c:ext>
              </c:extLst>
            </c:dLbl>
            <c:dLbl>
              <c:idx val="3"/>
              <c:layout>
                <c:manualLayout>
                  <c:x val="0.13941340748144701"/>
                  <c:y val="0.168048297960925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30-4B18-A587-6B5E5F46E3EF}"/>
                </c:ext>
              </c:extLst>
            </c:dLbl>
            <c:dLbl>
              <c:idx val="4"/>
              <c:layout>
                <c:manualLayout>
                  <c:x val="-9.0430318366344201E-2"/>
                  <c:y val="0.273566996680576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A6-420A-93C2-6C65434906AA}"/>
                </c:ext>
              </c:extLst>
            </c:dLbl>
            <c:dLbl>
              <c:idx val="5"/>
              <c:layout>
                <c:manualLayout>
                  <c:x val="0.13187754761758499"/>
                  <c:y val="-8.9886298909332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30-4B18-A587-6B5E5F46E3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'Parcel Breakdown'!$B$33:$B$38</c:f>
              <c:strCache>
                <c:ptCount val="6"/>
                <c:pt idx="0">
                  <c:v>Sports Museum / Community Rec Center</c:v>
                </c:pt>
                <c:pt idx="1">
                  <c:v>STEM Charter School</c:v>
                </c:pt>
                <c:pt idx="2">
                  <c:v>Test Kitchen</c:v>
                </c:pt>
                <c:pt idx="3">
                  <c:v>New Transit Station</c:v>
                </c:pt>
                <c:pt idx="4">
                  <c:v>Public Park Space</c:v>
                </c:pt>
                <c:pt idx="5">
                  <c:v>Affordable Housing</c:v>
                </c:pt>
              </c:strCache>
            </c:strRef>
          </c:cat>
          <c:val>
            <c:numRef>
              <c:f>'Parcel Breakdown'!$F$33:$F$38</c:f>
              <c:numCache>
                <c:formatCode>#,##0_);\(#,##0\)</c:formatCode>
                <c:ptCount val="6"/>
                <c:pt idx="0">
                  <c:v>60000</c:v>
                </c:pt>
                <c:pt idx="1">
                  <c:v>78210</c:v>
                </c:pt>
                <c:pt idx="2">
                  <c:v>19125</c:v>
                </c:pt>
                <c:pt idx="3">
                  <c:v>30000</c:v>
                </c:pt>
                <c:pt idx="4">
                  <c:v>1731000</c:v>
                </c:pt>
                <c:pt idx="5">
                  <c:v>323241.01511111116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6-420A-93C2-6C6543490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5"/>
        <c:holeSize val="38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854145182129601"/>
          <c:y val="0.64044414455426701"/>
          <c:w val="0.43145854817870399"/>
          <c:h val="0.359555855445732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Montserrat" panose="00000500000000000000" pitchFamily="50" charset="0"/>
                <a:cs typeface="Arial" panose="020B0604020202020204" pitchFamily="34" charset="0"/>
              </a:rPr>
              <a:t>Project Breakdown by Gross SF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099202192041499"/>
          <c:y val="0.179483128160035"/>
          <c:w val="0.51764808384183303"/>
          <c:h val="0.3684367072062170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1BE1D">
                  <a:alpha val="7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4F-4498-9B4C-5AB6146207B9}"/>
              </c:ext>
            </c:extLst>
          </c:dPt>
          <c:dPt>
            <c:idx val="1"/>
            <c:bubble3D val="0"/>
            <c:spPr>
              <a:solidFill>
                <a:srgbClr val="E1BE1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4F-4498-9B4C-5AB6146207B9}"/>
              </c:ext>
            </c:extLst>
          </c:dPt>
          <c:dPt>
            <c:idx val="2"/>
            <c:bubble3D val="0"/>
            <c:spPr>
              <a:solidFill>
                <a:srgbClr val="87153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4F-4498-9B4C-5AB6146207B9}"/>
              </c:ext>
            </c:extLst>
          </c:dPt>
          <c:dPt>
            <c:idx val="3"/>
            <c:bubble3D val="0"/>
            <c:spPr>
              <a:solidFill>
                <a:srgbClr val="A17A9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04F-4498-9B4C-5AB6146207B9}"/>
              </c:ext>
            </c:extLst>
          </c:dPt>
          <c:dPt>
            <c:idx val="4"/>
            <c:bubble3D val="0"/>
            <c:spPr>
              <a:solidFill>
                <a:srgbClr val="D15A5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04F-4498-9B4C-5AB6146207B9}"/>
              </c:ext>
            </c:extLst>
          </c:dPt>
          <c:dPt>
            <c:idx val="5"/>
            <c:bubble3D val="0"/>
            <c:spPr>
              <a:solidFill>
                <a:srgbClr val="6ABBD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04F-4498-9B4C-5AB6146207B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04F-4498-9B4C-5AB6146207B9}"/>
              </c:ext>
            </c:extLst>
          </c:dPt>
          <c:dPt>
            <c:idx val="7"/>
            <c:bubble3D val="0"/>
            <c:spPr>
              <a:solidFill>
                <a:srgbClr val="B7B7B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04F-4498-9B4C-5AB6146207B9}"/>
              </c:ext>
            </c:extLst>
          </c:dPt>
          <c:dLbls>
            <c:dLbl>
              <c:idx val="0"/>
              <c:layout>
                <c:manualLayout>
                  <c:x val="0.12589004733006701"/>
                  <c:y val="-0.1249717787693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4F-4498-9B4C-5AB6146207B9}"/>
                </c:ext>
              </c:extLst>
            </c:dLbl>
            <c:dLbl>
              <c:idx val="1"/>
              <c:layout>
                <c:manualLayout>
                  <c:x val="0.15901900715376799"/>
                  <c:y val="0.1178979044993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4F-4498-9B4C-5AB6146207B9}"/>
                </c:ext>
              </c:extLst>
            </c:dLbl>
            <c:dLbl>
              <c:idx val="2"/>
              <c:layout>
                <c:manualLayout>
                  <c:x val="-0.12589004733006701"/>
                  <c:y val="9.6676281689471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4F-4498-9B4C-5AB6146207B9}"/>
                </c:ext>
              </c:extLst>
            </c:dLbl>
            <c:dLbl>
              <c:idx val="3"/>
              <c:layout>
                <c:manualLayout>
                  <c:x val="-0.202086654924581"/>
                  <c:y val="7.5454658879587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4F-4498-9B4C-5AB6146207B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4F-4498-9B4C-5AB6146207B9}"/>
                </c:ext>
              </c:extLst>
            </c:dLbl>
            <c:dLbl>
              <c:idx val="5"/>
              <c:layout>
                <c:manualLayout>
                  <c:x val="-0.205399550906951"/>
                  <c:y val="-8.7244449329522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4F-4498-9B4C-5AB6146207B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04F-4498-9B4C-5AB6146207B9}"/>
                </c:ext>
              </c:extLst>
            </c:dLbl>
            <c:dLbl>
              <c:idx val="7"/>
              <c:layout>
                <c:manualLayout>
                  <c:x val="-0.12920294331243701"/>
                  <c:y val="-0.11082403022939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04F-4498-9B4C-5AB6146207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'Loan Sizing'!$B$126:$B$133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Community Facility</c:v>
                </c:pt>
                <c:pt idx="5">
                  <c:v>Office</c:v>
                </c:pt>
                <c:pt idx="6">
                  <c:v>Industrial</c:v>
                </c:pt>
                <c:pt idx="7">
                  <c:v>Parking</c:v>
                </c:pt>
              </c:strCache>
            </c:strRef>
          </c:cat>
          <c:val>
            <c:numRef>
              <c:f>'Loan Sizing'!$H$126:$H$133</c:f>
              <c:numCache>
                <c:formatCode>#,##0_);\(#,##0\)</c:formatCode>
                <c:ptCount val="8"/>
                <c:pt idx="0">
                  <c:v>90127</c:v>
                </c:pt>
                <c:pt idx="1">
                  <c:v>360508</c:v>
                </c:pt>
                <c:pt idx="2">
                  <c:v>154000</c:v>
                </c:pt>
                <c:pt idx="3">
                  <c:v>128434</c:v>
                </c:pt>
                <c:pt idx="4">
                  <c:v>0</c:v>
                </c:pt>
                <c:pt idx="5">
                  <c:v>149930</c:v>
                </c:pt>
                <c:pt idx="6">
                  <c:v>0</c:v>
                </c:pt>
                <c:pt idx="7">
                  <c:v>106000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04F-4498-9B4C-5AB614620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8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'Loan Sizing'!$B$149</c:f>
              <c:strCache>
                <c:ptCount val="1"/>
                <c:pt idx="0">
                  <c:v>Levered IRR with Opportunity Zone</c:v>
                </c:pt>
              </c:strCache>
            </c:strRef>
          </c:tx>
          <c:spPr>
            <a:solidFill>
              <a:srgbClr val="871531">
                <a:alpha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Sizing'!$E$149</c:f>
              <c:numCache>
                <c:formatCode>0.0%</c:formatCode>
                <c:ptCount val="1"/>
                <c:pt idx="0">
                  <c:v>0.32970544661755119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8-4758-A854-0EA1567219E2}"/>
            </c:ext>
          </c:extLst>
        </c:ser>
        <c:ser>
          <c:idx val="1"/>
          <c:order val="1"/>
          <c:tx>
            <c:strRef>
              <c:f>'Loan Sizing'!$B$148</c:f>
              <c:strCache>
                <c:ptCount val="1"/>
                <c:pt idx="0">
                  <c:v>Levered IRR without Opportunity Zone</c:v>
                </c:pt>
              </c:strCache>
            </c:strRef>
          </c:tx>
          <c:spPr>
            <a:solidFill>
              <a:srgbClr val="871531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Sizing'!$E$148</c:f>
              <c:numCache>
                <c:formatCode>0.0%</c:formatCode>
                <c:ptCount val="1"/>
                <c:pt idx="0">
                  <c:v>0.25394836654862751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28-4758-A854-0EA1567219E2}"/>
            </c:ext>
          </c:extLst>
        </c:ser>
        <c:ser>
          <c:idx val="2"/>
          <c:order val="2"/>
          <c:tx>
            <c:strRef>
              <c:f>'Loan Sizing'!$B$147</c:f>
              <c:strCache>
                <c:ptCount val="1"/>
                <c:pt idx="0">
                  <c:v>Unlevered IRR</c:v>
                </c:pt>
              </c:strCache>
            </c:strRef>
          </c:tx>
          <c:spPr>
            <a:solidFill>
              <a:srgbClr val="87153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Sizing'!$E$147</c:f>
              <c:numCache>
                <c:formatCode>0.0%</c:formatCode>
                <c:ptCount val="1"/>
                <c:pt idx="0">
                  <c:v>0.13786783674743441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28-4758-A854-0EA156721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546512000"/>
        <c:axId val="-1546509168"/>
      </c:barChart>
      <c:catAx>
        <c:axId val="-1546512000"/>
        <c:scaling>
          <c:orientation val="minMax"/>
        </c:scaling>
        <c:delete val="1"/>
        <c:axPos val="l"/>
        <c:majorTickMark val="none"/>
        <c:minorTickMark val="none"/>
        <c:tickLblPos val="nextTo"/>
        <c:crossAx val="-1546509168"/>
        <c:crosses val="autoZero"/>
        <c:auto val="1"/>
        <c:lblAlgn val="ctr"/>
        <c:lblOffset val="100"/>
        <c:noMultiLvlLbl val="0"/>
      </c:catAx>
      <c:valAx>
        <c:axId val="-1546509168"/>
        <c:scaling>
          <c:orientation val="minMax"/>
        </c:scaling>
        <c:delete val="0"/>
        <c:axPos val="b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4651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'Loan Sizing'!$E$78</c:f>
              <c:strCache>
                <c:ptCount val="1"/>
                <c:pt idx="0">
                  <c:v>Yield-to-Cost</c:v>
                </c:pt>
              </c:strCache>
            </c:strRef>
          </c:tx>
          <c:spPr>
            <a:solidFill>
              <a:srgbClr val="871531">
                <a:alpha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'Loan Sizing'!$B$166:$B$173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Community Facility</c:v>
                </c:pt>
                <c:pt idx="5">
                  <c:v>Office</c:v>
                </c:pt>
                <c:pt idx="6">
                  <c:v>Industrial</c:v>
                </c:pt>
                <c:pt idx="7">
                  <c:v>Parking</c:v>
                </c:pt>
              </c:strCache>
            </c:strRef>
          </c:cat>
          <c:val>
            <c:numRef>
              <c:f>'Loan Sizing'!$E$166:$E$173</c:f>
              <c:numCache>
                <c:formatCode>0.0%</c:formatCode>
                <c:ptCount val="8"/>
                <c:pt idx="0">
                  <c:v>1.1368421170745636E-2</c:v>
                </c:pt>
                <c:pt idx="1">
                  <c:v>6.0768882291150954E-2</c:v>
                </c:pt>
                <c:pt idx="2">
                  <c:v>7.5532241558456198E-2</c:v>
                </c:pt>
                <c:pt idx="3">
                  <c:v>8.8556396428660478E-2</c:v>
                </c:pt>
                <c:pt idx="4">
                  <c:v>3.9724449693898788E-2</c:v>
                </c:pt>
                <c:pt idx="5">
                  <c:v>8.3404355286620144E-2</c:v>
                </c:pt>
                <c:pt idx="6">
                  <c:v>6.7139436155090992E-2</c:v>
                </c:pt>
                <c:pt idx="7">
                  <c:v>3.8054378647931299E-2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3-4070-B4DC-1EE2A73370B9}"/>
            </c:ext>
          </c:extLst>
        </c:ser>
        <c:ser>
          <c:idx val="3"/>
          <c:order val="1"/>
          <c:tx>
            <c:strRef>
              <c:f>'Loan Sizing'!$F$78</c:f>
              <c:strCache>
                <c:ptCount val="1"/>
                <c:pt idx="0">
                  <c:v>Yield-to-Cost after Subsidies</c:v>
                </c:pt>
              </c:strCache>
            </c:strRef>
          </c:tx>
          <c:spPr>
            <a:solidFill>
              <a:srgbClr val="871531">
                <a:alpha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'Loan Sizing'!$B$166:$B$173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Community Facility</c:v>
                </c:pt>
                <c:pt idx="5">
                  <c:v>Office</c:v>
                </c:pt>
                <c:pt idx="6">
                  <c:v>Industrial</c:v>
                </c:pt>
                <c:pt idx="7">
                  <c:v>Parking</c:v>
                </c:pt>
              </c:strCache>
            </c:strRef>
          </c:cat>
          <c:val>
            <c:numRef>
              <c:f>'Loan Sizing'!$F$166:$F$173</c:f>
              <c:numCache>
                <c:formatCode>0.0%</c:formatCode>
                <c:ptCount val="8"/>
                <c:pt idx="0">
                  <c:v>2.6980440637156662E-2</c:v>
                </c:pt>
                <c:pt idx="1">
                  <c:v>7.2630989012628724E-2</c:v>
                </c:pt>
                <c:pt idx="2">
                  <c:v>9.0276161085989057E-2</c:v>
                </c:pt>
                <c:pt idx="3">
                  <c:v>0.10584263546582685</c:v>
                </c:pt>
                <c:pt idx="4">
                  <c:v>7.348364576106356E-2</c:v>
                </c:pt>
                <c:pt idx="5">
                  <c:v>9.9684914121088028E-2</c:v>
                </c:pt>
                <c:pt idx="6">
                  <c:v>8.0245077181625143E-2</c:v>
                </c:pt>
                <c:pt idx="7">
                  <c:v>4.5482606446799648E-2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3-4070-B4DC-1EE2A73370B9}"/>
            </c:ext>
          </c:extLst>
        </c:ser>
        <c:ser>
          <c:idx val="4"/>
          <c:order val="2"/>
          <c:tx>
            <c:strRef>
              <c:f>'Loan Sizing'!$G$78</c:f>
              <c:strCache>
                <c:ptCount val="1"/>
                <c:pt idx="0">
                  <c:v>Exit Cap Rate</c:v>
                </c:pt>
              </c:strCache>
            </c:strRef>
          </c:tx>
          <c:spPr>
            <a:solidFill>
              <a:srgbClr val="871531"/>
            </a:solidFill>
            <a:ln>
              <a:noFill/>
            </a:ln>
            <a:effectLst/>
          </c:spPr>
          <c:invertIfNegative val="0"/>
          <c:cat>
            <c:strRef>
              <c:f>'Loan Sizing'!$B$166:$B$173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Community Facility</c:v>
                </c:pt>
                <c:pt idx="5">
                  <c:v>Office</c:v>
                </c:pt>
                <c:pt idx="6">
                  <c:v>Industrial</c:v>
                </c:pt>
                <c:pt idx="7">
                  <c:v>Parking</c:v>
                </c:pt>
              </c:strCache>
            </c:strRef>
          </c:cat>
          <c:val>
            <c:numRef>
              <c:f>'Loan Sizing'!$G$166:$G$173</c:f>
              <c:numCache>
                <c:formatCode>0.0%</c:formatCode>
                <c:ptCount val="8"/>
                <c:pt idx="0">
                  <c:v>5.7500000000000002E-2</c:v>
                </c:pt>
                <c:pt idx="1">
                  <c:v>5.5E-2</c:v>
                </c:pt>
                <c:pt idx="2">
                  <c:v>6.5000000000000002E-2</c:v>
                </c:pt>
                <c:pt idx="3">
                  <c:v>0.08</c:v>
                </c:pt>
                <c:pt idx="4">
                  <c:v>6.7500000000000004E-2</c:v>
                </c:pt>
                <c:pt idx="5">
                  <c:v>6.5000000000000002E-2</c:v>
                </c:pt>
                <c:pt idx="6">
                  <c:v>5.5E-2</c:v>
                </c:pt>
                <c:pt idx="7">
                  <c:v>6.5000000000000002E-2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23-4070-B4DC-1EE2A7337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82914656"/>
        <c:axId val="-1582912880"/>
      </c:barChart>
      <c:catAx>
        <c:axId val="-158291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82912880"/>
        <c:crosses val="autoZero"/>
        <c:auto val="1"/>
        <c:lblAlgn val="ctr"/>
        <c:lblOffset val="100"/>
        <c:noMultiLvlLbl val="0"/>
      </c:catAx>
      <c:valAx>
        <c:axId val="-158291288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82914656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Montserrat" panose="00000500000000000000" pitchFamily="50" charset="0"/>
                <a:cs typeface="Arial" panose="020B0604020202020204" pitchFamily="34" charset="0"/>
              </a:rPr>
              <a:t>Project Breakdown by Gross SF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111464602619399"/>
          <c:y val="0.16533537962011299"/>
          <c:w val="0.53089966777131303"/>
          <c:h val="0.3778685395661650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1BE1D">
                  <a:alpha val="7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C85-466C-A97D-F034941B1117}"/>
              </c:ext>
            </c:extLst>
          </c:dPt>
          <c:dPt>
            <c:idx val="1"/>
            <c:bubble3D val="0"/>
            <c:spPr>
              <a:solidFill>
                <a:srgbClr val="E1BE1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C85-466C-A97D-F034941B1117}"/>
              </c:ext>
            </c:extLst>
          </c:dPt>
          <c:dPt>
            <c:idx val="2"/>
            <c:bubble3D val="0"/>
            <c:spPr>
              <a:solidFill>
                <a:srgbClr val="87153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C85-466C-A97D-F034941B1117}"/>
              </c:ext>
            </c:extLst>
          </c:dPt>
          <c:dPt>
            <c:idx val="3"/>
            <c:bubble3D val="0"/>
            <c:spPr>
              <a:solidFill>
                <a:srgbClr val="A17A9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C85-466C-A97D-F034941B1117}"/>
              </c:ext>
            </c:extLst>
          </c:dPt>
          <c:dPt>
            <c:idx val="4"/>
            <c:bubble3D val="0"/>
            <c:spPr>
              <a:solidFill>
                <a:srgbClr val="D15A5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C85-466C-A97D-F034941B1117}"/>
              </c:ext>
            </c:extLst>
          </c:dPt>
          <c:dPt>
            <c:idx val="5"/>
            <c:bubble3D val="0"/>
            <c:spPr>
              <a:solidFill>
                <a:srgbClr val="6ABBD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C85-466C-A97D-F034941B1117}"/>
              </c:ext>
            </c:extLst>
          </c:dPt>
          <c:dPt>
            <c:idx val="6"/>
            <c:bubble3D val="0"/>
            <c:spPr>
              <a:solidFill>
                <a:srgbClr val="5774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C85-466C-A97D-F034941B1117}"/>
              </c:ext>
            </c:extLst>
          </c:dPt>
          <c:dPt>
            <c:idx val="7"/>
            <c:bubble3D val="0"/>
            <c:spPr>
              <a:solidFill>
                <a:srgbClr val="B7B7B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C85-466C-A97D-F034941B1117}"/>
              </c:ext>
            </c:extLst>
          </c:dPt>
          <c:dLbls>
            <c:dLbl>
              <c:idx val="0"/>
              <c:layout>
                <c:manualLayout>
                  <c:x val="0.15239321518902799"/>
                  <c:y val="-0.122613820679329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85-466C-A97D-F034941B1117}"/>
                </c:ext>
              </c:extLst>
            </c:dLbl>
            <c:dLbl>
              <c:idx val="1"/>
              <c:layout>
                <c:manualLayout>
                  <c:x val="0.18220927903035999"/>
                  <c:y val="-0.1084660721394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85-466C-A97D-F034941B1117}"/>
                </c:ext>
              </c:extLst>
            </c:dLbl>
            <c:dLbl>
              <c:idx val="2"/>
              <c:layout>
                <c:manualLayout>
                  <c:x val="0.23852851073065301"/>
                  <c:y val="4.244324561976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85-466C-A97D-F034941B1117}"/>
                </c:ext>
              </c:extLst>
            </c:dLbl>
            <c:dLbl>
              <c:idx val="3"/>
              <c:layout>
                <c:manualLayout>
                  <c:x val="0.23190271876591201"/>
                  <c:y val="6.3664868429651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85-466C-A97D-F034941B1117}"/>
                </c:ext>
              </c:extLst>
            </c:dLbl>
            <c:dLbl>
              <c:idx val="4"/>
              <c:layout>
                <c:manualLayout>
                  <c:x val="0.16233190313613899"/>
                  <c:y val="9.1960365509497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85-466C-A97D-F034941B1117}"/>
                </c:ext>
              </c:extLst>
            </c:dLbl>
            <c:dLbl>
              <c:idx val="5"/>
              <c:layout>
                <c:manualLayout>
                  <c:x val="-0.19214796697747"/>
                  <c:y val="8.4886491239535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85-466C-A97D-F034941B1117}"/>
                </c:ext>
              </c:extLst>
            </c:dLbl>
            <c:dLbl>
              <c:idx val="6"/>
              <c:layout>
                <c:manualLayout>
                  <c:x val="-0.215338238854061"/>
                  <c:y val="-6.1306910339664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85-466C-A97D-F034941B1117}"/>
                </c:ext>
              </c:extLst>
            </c:dLbl>
            <c:dLbl>
              <c:idx val="7"/>
              <c:layout>
                <c:manualLayout>
                  <c:x val="-0.15901900715376799"/>
                  <c:y val="-0.1084660721394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85-466C-A97D-F034941B11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'Loan Sizing'!$B$155:$B$162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Community Facility</c:v>
                </c:pt>
                <c:pt idx="5">
                  <c:v>Office</c:v>
                </c:pt>
                <c:pt idx="6">
                  <c:v>Industrial</c:v>
                </c:pt>
                <c:pt idx="7">
                  <c:v>Parking</c:v>
                </c:pt>
              </c:strCache>
            </c:strRef>
          </c:cat>
          <c:val>
            <c:numRef>
              <c:f>'Loan Sizing'!$H$155:$H$162</c:f>
              <c:numCache>
                <c:formatCode>#,##0_);\(#,##0\)</c:formatCode>
                <c:ptCount val="8"/>
                <c:pt idx="0">
                  <c:v>107120.45511111115</c:v>
                </c:pt>
                <c:pt idx="1">
                  <c:v>428481.8204444446</c:v>
                </c:pt>
                <c:pt idx="2">
                  <c:v>78330</c:v>
                </c:pt>
                <c:pt idx="3">
                  <c:v>22366.613333333331</c:v>
                </c:pt>
                <c:pt idx="4">
                  <c:v>78210</c:v>
                </c:pt>
                <c:pt idx="5">
                  <c:v>612540.11111111101</c:v>
                </c:pt>
                <c:pt idx="6">
                  <c:v>234630</c:v>
                </c:pt>
                <c:pt idx="7">
                  <c:v>198000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C85-466C-A97D-F034941B1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8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'Loan Sizing'!$B$178</c:f>
              <c:strCache>
                <c:ptCount val="1"/>
                <c:pt idx="0">
                  <c:v>Levered IRR with Opportunity Zone</c:v>
                </c:pt>
              </c:strCache>
            </c:strRef>
          </c:tx>
          <c:spPr>
            <a:solidFill>
              <a:srgbClr val="871531">
                <a:alpha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Sizing'!$E$178</c:f>
              <c:numCache>
                <c:formatCode>0.0%</c:formatCode>
                <c:ptCount val="1"/>
                <c:pt idx="0">
                  <c:v>0.30491617202346194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5-462F-B37F-C2A83422657D}"/>
            </c:ext>
          </c:extLst>
        </c:ser>
        <c:ser>
          <c:idx val="1"/>
          <c:order val="1"/>
          <c:tx>
            <c:strRef>
              <c:f>'Loan Sizing'!$B$177</c:f>
              <c:strCache>
                <c:ptCount val="1"/>
                <c:pt idx="0">
                  <c:v>Levered IRR without Opportunity Zone</c:v>
                </c:pt>
              </c:strCache>
            </c:strRef>
          </c:tx>
          <c:spPr>
            <a:solidFill>
              <a:srgbClr val="871531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Sizing'!$E$177</c:f>
              <c:numCache>
                <c:formatCode>0.0%</c:formatCode>
                <c:ptCount val="1"/>
                <c:pt idx="0">
                  <c:v>0.25261779574553245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F5-462F-B37F-C2A83422657D}"/>
            </c:ext>
          </c:extLst>
        </c:ser>
        <c:ser>
          <c:idx val="2"/>
          <c:order val="2"/>
          <c:tx>
            <c:strRef>
              <c:f>'Loan Sizing'!$B$176</c:f>
              <c:strCache>
                <c:ptCount val="1"/>
                <c:pt idx="0">
                  <c:v>Unlevered IRR</c:v>
                </c:pt>
              </c:strCache>
            </c:strRef>
          </c:tx>
          <c:spPr>
            <a:solidFill>
              <a:srgbClr val="87153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Sizing'!$E$176</c:f>
              <c:numCache>
                <c:formatCode>0.0%</c:formatCode>
                <c:ptCount val="1"/>
                <c:pt idx="0">
                  <c:v>0.14871588484395204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F5-462F-B37F-C2A834226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582867920"/>
        <c:axId val="-1582835344"/>
      </c:barChart>
      <c:catAx>
        <c:axId val="-1582867920"/>
        <c:scaling>
          <c:orientation val="minMax"/>
        </c:scaling>
        <c:delete val="1"/>
        <c:axPos val="l"/>
        <c:majorTickMark val="none"/>
        <c:minorTickMark val="none"/>
        <c:tickLblPos val="nextTo"/>
        <c:crossAx val="-1582835344"/>
        <c:crosses val="autoZero"/>
        <c:auto val="1"/>
        <c:lblAlgn val="ctr"/>
        <c:lblOffset val="100"/>
        <c:noMultiLvlLbl val="0"/>
      </c:catAx>
      <c:valAx>
        <c:axId val="-1582835344"/>
        <c:scaling>
          <c:orientation val="minMax"/>
        </c:scaling>
        <c:delete val="0"/>
        <c:axPos val="b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8286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Montserrat" panose="00000500000000000000" pitchFamily="50" charset="0"/>
              </a:rPr>
              <a:t>Public Benefits by NPV </a:t>
            </a:r>
          </a:p>
          <a:p>
            <a:pPr>
              <a:defRPr b="1">
                <a:latin typeface="Montserrat" panose="00000500000000000000" pitchFamily="50" charset="0"/>
              </a:defRPr>
            </a:pPr>
            <a:r>
              <a:rPr lang="en-US" b="1">
                <a:latin typeface="Montserrat" panose="00000500000000000000" pitchFamily="50" charset="0"/>
              </a:rPr>
              <a:t>of Cost / Foregone Revenue</a:t>
            </a:r>
          </a:p>
        </c:rich>
      </c:tx>
      <c:layout>
        <c:manualLayout>
          <c:xMode val="edge"/>
          <c:yMode val="edge"/>
          <c:x val="0.61623360063472299"/>
          <c:y val="7.18707054051655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73635211314901"/>
          <c:y val="0.21580659160736401"/>
          <c:w val="0.326480678874635"/>
          <c:h val="0.6798091338590449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15A5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2F-4E78-A754-18E561B07F1D}"/>
              </c:ext>
            </c:extLst>
          </c:dPt>
          <c:dPt>
            <c:idx val="1"/>
            <c:bubble3D val="0"/>
            <c:spPr>
              <a:solidFill>
                <a:srgbClr val="87153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2F-4E78-A754-18E561B07F1D}"/>
              </c:ext>
            </c:extLst>
          </c:dPt>
          <c:dPt>
            <c:idx val="2"/>
            <c:bubble3D val="0"/>
            <c:spPr>
              <a:solidFill>
                <a:srgbClr val="6ABBD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2F-4E78-A754-18E561B07F1D}"/>
              </c:ext>
            </c:extLst>
          </c:dPt>
          <c:dPt>
            <c:idx val="3"/>
            <c:bubble3D val="0"/>
            <c:spPr>
              <a:solidFill>
                <a:srgbClr val="B7B7B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12F-4E78-A754-18E561B07F1D}"/>
              </c:ext>
            </c:extLst>
          </c:dPt>
          <c:dPt>
            <c:idx val="4"/>
            <c:bubble3D val="0"/>
            <c:spPr>
              <a:solidFill>
                <a:srgbClr val="A89F5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12F-4E78-A754-18E561B07F1D}"/>
              </c:ext>
            </c:extLst>
          </c:dPt>
          <c:dPt>
            <c:idx val="5"/>
            <c:bubble3D val="0"/>
            <c:spPr>
              <a:solidFill>
                <a:srgbClr val="E1BE1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12F-4E78-A754-18E561B07F1D}"/>
              </c:ext>
            </c:extLst>
          </c:dPt>
          <c:dLbls>
            <c:dLbl>
              <c:idx val="0"/>
              <c:layout>
                <c:manualLayout>
                  <c:x val="0.103396726801571"/>
                  <c:y val="-0.1722369348976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2F-4E78-A754-18E561B07F1D}"/>
                </c:ext>
              </c:extLst>
            </c:dLbl>
            <c:dLbl>
              <c:idx val="1"/>
              <c:layout>
                <c:manualLayout>
                  <c:x val="0.11655631021267999"/>
                  <c:y val="-0.21921064441518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2F-4E78-A754-18E561B07F1D}"/>
                </c:ext>
              </c:extLst>
            </c:dLbl>
            <c:dLbl>
              <c:idx val="2"/>
              <c:layout>
                <c:manualLayout>
                  <c:x val="0.12971589362378899"/>
                  <c:y val="0.156579031725130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2F-4E78-A754-18E561B07F1D}"/>
                </c:ext>
              </c:extLst>
            </c:dLbl>
            <c:dLbl>
              <c:idx val="3"/>
              <c:layout>
                <c:manualLayout>
                  <c:x val="8.45973219285584E-2"/>
                  <c:y val="0.1996382654495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2F-4E78-A754-18E561B07F1D}"/>
                </c:ext>
              </c:extLst>
            </c:dLbl>
            <c:dLbl>
              <c:idx val="4"/>
              <c:layout>
                <c:manualLayout>
                  <c:x val="-8.8357202903161E-2"/>
                  <c:y val="0.191809313863286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2F-4E78-A754-18E561B07F1D}"/>
                </c:ext>
              </c:extLst>
            </c:dLbl>
            <c:dLbl>
              <c:idx val="5"/>
              <c:layout>
                <c:manualLayout>
                  <c:x val="-0.110916488750777"/>
                  <c:y val="-0.1761514106907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12F-4E78-A754-18E561B07F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'Parcel Breakdown'!$B$33:$B$38</c:f>
              <c:strCache>
                <c:ptCount val="6"/>
                <c:pt idx="0">
                  <c:v>Sports Museum / Community Rec Center</c:v>
                </c:pt>
                <c:pt idx="1">
                  <c:v>STEM Charter School</c:v>
                </c:pt>
                <c:pt idx="2">
                  <c:v>Test Kitchen</c:v>
                </c:pt>
                <c:pt idx="3">
                  <c:v>New Transit Station</c:v>
                </c:pt>
                <c:pt idx="4">
                  <c:v>Public Park Space</c:v>
                </c:pt>
                <c:pt idx="5">
                  <c:v>Affordable Housing</c:v>
                </c:pt>
              </c:strCache>
            </c:strRef>
          </c:cat>
          <c:val>
            <c:numRef>
              <c:f>'Parcel Breakdown'!$G$33:$G$38</c:f>
              <c:numCache>
                <c:formatCode>"$"#,##0_);\("$"#,##0\)</c:formatCode>
                <c:ptCount val="6"/>
                <c:pt idx="0">
                  <c:v>8181818.1818181807</c:v>
                </c:pt>
                <c:pt idx="1">
                  <c:v>4666780.0120231472</c:v>
                </c:pt>
                <c:pt idx="2">
                  <c:v>1658323.101647825</c:v>
                </c:pt>
                <c:pt idx="3">
                  <c:v>2120002.8030162575</c:v>
                </c:pt>
                <c:pt idx="4">
                  <c:v>16600823.36989807</c:v>
                </c:pt>
                <c:pt idx="5">
                  <c:v>7246836.9505206645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2F-4E78-A754-18E561B07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8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257051812195999"/>
          <c:y val="0.32094879495790901"/>
          <c:w val="0.33742948187804001"/>
          <c:h val="0.67898894330113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'Loan Sizing'!$E$78</c:f>
              <c:strCache>
                <c:ptCount val="1"/>
                <c:pt idx="0">
                  <c:v>Yield-to-Cost</c:v>
                </c:pt>
              </c:strCache>
            </c:strRef>
          </c:tx>
          <c:spPr>
            <a:solidFill>
              <a:srgbClr val="871531">
                <a:alpha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'Loan Sizing'!$B$79:$B$86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Community Facility</c:v>
                </c:pt>
                <c:pt idx="5">
                  <c:v>Office</c:v>
                </c:pt>
                <c:pt idx="6">
                  <c:v>Industrial</c:v>
                </c:pt>
                <c:pt idx="7">
                  <c:v>Parking</c:v>
                </c:pt>
              </c:strCache>
            </c:strRef>
          </c:cat>
          <c:val>
            <c:numRef>
              <c:f>'Loan Sizing'!$E$79:$E$86</c:f>
              <c:numCache>
                <c:formatCode>0.0%</c:formatCode>
                <c:ptCount val="8"/>
                <c:pt idx="0">
                  <c:v>1.2701173705896334E-2</c:v>
                </c:pt>
                <c:pt idx="1">
                  <c:v>5.9806949366959253E-2</c:v>
                </c:pt>
                <c:pt idx="2">
                  <c:v>7.3526151761369049E-2</c:v>
                </c:pt>
                <c:pt idx="3">
                  <c:v>0.10173573533823606</c:v>
                </c:pt>
                <c:pt idx="4">
                  <c:v>2.5644474311845852E-2</c:v>
                </c:pt>
                <c:pt idx="5">
                  <c:v>8.0522430195818354E-2</c:v>
                </c:pt>
                <c:pt idx="6">
                  <c:v>6.6961007915969317E-2</c:v>
                </c:pt>
                <c:pt idx="7">
                  <c:v>3.0715633367606954E-2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0-494B-B848-2F3B452C4600}"/>
            </c:ext>
          </c:extLst>
        </c:ser>
        <c:ser>
          <c:idx val="3"/>
          <c:order val="1"/>
          <c:tx>
            <c:strRef>
              <c:f>'Loan Sizing'!$F$78</c:f>
              <c:strCache>
                <c:ptCount val="1"/>
                <c:pt idx="0">
                  <c:v>Yield-to-Cost after Subsidies</c:v>
                </c:pt>
              </c:strCache>
            </c:strRef>
          </c:tx>
          <c:spPr>
            <a:solidFill>
              <a:srgbClr val="871531">
                <a:alpha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'Loan Sizing'!$B$79:$B$86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Community Facility</c:v>
                </c:pt>
                <c:pt idx="5">
                  <c:v>Office</c:v>
                </c:pt>
                <c:pt idx="6">
                  <c:v>Industrial</c:v>
                </c:pt>
                <c:pt idx="7">
                  <c:v>Parking</c:v>
                </c:pt>
              </c:strCache>
            </c:strRef>
          </c:cat>
          <c:val>
            <c:numRef>
              <c:f>'Loan Sizing'!$F$79:$F$86</c:f>
              <c:numCache>
                <c:formatCode>0.0%</c:formatCode>
                <c:ptCount val="8"/>
                <c:pt idx="0">
                  <c:v>3.2952975186214976E-2</c:v>
                </c:pt>
                <c:pt idx="1">
                  <c:v>7.3768361550046971E-2</c:v>
                </c:pt>
                <c:pt idx="2">
                  <c:v>8.9597196651548028E-2</c:v>
                </c:pt>
                <c:pt idx="3">
                  <c:v>0.12397271538395627</c:v>
                </c:pt>
                <c:pt idx="4">
                  <c:v>4.9944804986258126E-2</c:v>
                </c:pt>
                <c:pt idx="5">
                  <c:v>9.8122692950535439E-2</c:v>
                </c:pt>
                <c:pt idx="6">
                  <c:v>8.1597070572992217E-2</c:v>
                </c:pt>
                <c:pt idx="7">
                  <c:v>3.7429330614855622E-2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40-494B-B848-2F3B452C4600}"/>
            </c:ext>
          </c:extLst>
        </c:ser>
        <c:ser>
          <c:idx val="4"/>
          <c:order val="2"/>
          <c:tx>
            <c:strRef>
              <c:f>'Loan Sizing'!$G$78</c:f>
              <c:strCache>
                <c:ptCount val="1"/>
                <c:pt idx="0">
                  <c:v>Exit Cap Rate</c:v>
                </c:pt>
              </c:strCache>
            </c:strRef>
          </c:tx>
          <c:spPr>
            <a:solidFill>
              <a:srgbClr val="871531"/>
            </a:solidFill>
            <a:ln>
              <a:noFill/>
            </a:ln>
            <a:effectLst/>
          </c:spPr>
          <c:invertIfNegative val="0"/>
          <c:cat>
            <c:strRef>
              <c:f>'Loan Sizing'!$B$79:$B$86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Community Facility</c:v>
                </c:pt>
                <c:pt idx="5">
                  <c:v>Office</c:v>
                </c:pt>
                <c:pt idx="6">
                  <c:v>Industrial</c:v>
                </c:pt>
                <c:pt idx="7">
                  <c:v>Parking</c:v>
                </c:pt>
              </c:strCache>
            </c:strRef>
          </c:cat>
          <c:val>
            <c:numRef>
              <c:f>'Loan Sizing'!$G$79:$G$86</c:f>
              <c:numCache>
                <c:formatCode>0.0%</c:formatCode>
                <c:ptCount val="8"/>
                <c:pt idx="0">
                  <c:v>5.7500000000000002E-2</c:v>
                </c:pt>
                <c:pt idx="1">
                  <c:v>5.5E-2</c:v>
                </c:pt>
                <c:pt idx="2">
                  <c:v>6.5000000000000002E-2</c:v>
                </c:pt>
                <c:pt idx="3">
                  <c:v>0.08</c:v>
                </c:pt>
                <c:pt idx="4">
                  <c:v>6.7500000000000004E-2</c:v>
                </c:pt>
                <c:pt idx="5">
                  <c:v>6.5000000000000002E-2</c:v>
                </c:pt>
                <c:pt idx="6">
                  <c:v>5.5E-2</c:v>
                </c:pt>
                <c:pt idx="7">
                  <c:v>6.5000000000000002E-2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40-494B-B848-2F3B452C4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46545328"/>
        <c:axId val="-1546543008"/>
      </c:barChart>
      <c:catAx>
        <c:axId val="-154654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46543008"/>
        <c:crosses val="autoZero"/>
        <c:auto val="1"/>
        <c:lblAlgn val="ctr"/>
        <c:lblOffset val="100"/>
        <c:noMultiLvlLbl val="0"/>
      </c:catAx>
      <c:valAx>
        <c:axId val="-154654300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46545328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Montserrat" panose="00000500000000000000" pitchFamily="50" charset="0"/>
                <a:cs typeface="Arial" panose="020B0604020202020204" pitchFamily="34" charset="0"/>
              </a:rPr>
              <a:t>Project Breakdown by Gross SF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442754200856499"/>
          <c:y val="0.19598868551238699"/>
          <c:w val="0.49114517684082198"/>
          <c:h val="0.3495732930561830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1BE1D">
                  <a:alpha val="7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CD-4E08-B981-BF20889CBC0E}"/>
              </c:ext>
            </c:extLst>
          </c:dPt>
          <c:dPt>
            <c:idx val="1"/>
            <c:bubble3D val="0"/>
            <c:spPr>
              <a:solidFill>
                <a:srgbClr val="E1BE1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CD-4E08-B981-BF20889CBC0E}"/>
              </c:ext>
            </c:extLst>
          </c:dPt>
          <c:dPt>
            <c:idx val="2"/>
            <c:bubble3D val="0"/>
            <c:spPr>
              <a:solidFill>
                <a:srgbClr val="B2325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4CD-4E08-B981-BF20889CBC0E}"/>
              </c:ext>
            </c:extLst>
          </c:dPt>
          <c:dPt>
            <c:idx val="3"/>
            <c:bubble3D val="0"/>
            <c:spPr>
              <a:solidFill>
                <a:srgbClr val="A17A9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4CD-4E08-B981-BF20889CBC0E}"/>
              </c:ext>
            </c:extLst>
          </c:dPt>
          <c:dPt>
            <c:idx val="4"/>
            <c:bubble3D val="0"/>
            <c:spPr>
              <a:solidFill>
                <a:srgbClr val="D15A5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4CD-4E08-B981-BF20889CBC0E}"/>
              </c:ext>
            </c:extLst>
          </c:dPt>
          <c:dPt>
            <c:idx val="5"/>
            <c:bubble3D val="0"/>
            <c:spPr>
              <a:solidFill>
                <a:srgbClr val="6ABBD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4CD-4E08-B981-BF20889CBC0E}"/>
              </c:ext>
            </c:extLst>
          </c:dPt>
          <c:dPt>
            <c:idx val="6"/>
            <c:bubble3D val="0"/>
            <c:spPr>
              <a:solidFill>
                <a:srgbClr val="5774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4CD-4E08-B981-BF20889CBC0E}"/>
              </c:ext>
            </c:extLst>
          </c:dPt>
          <c:dPt>
            <c:idx val="7"/>
            <c:bubble3D val="0"/>
            <c:spPr>
              <a:solidFill>
                <a:srgbClr val="B7B7B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4CD-4E08-B981-BF20889CBC0E}"/>
              </c:ext>
            </c:extLst>
          </c:dPt>
          <c:dLbls>
            <c:dLbl>
              <c:idx val="0"/>
              <c:layout>
                <c:manualLayout>
                  <c:x val="0.15239321518902799"/>
                  <c:y val="-0.113182009333431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CD-4E08-B981-BF20889CBC0E}"/>
                </c:ext>
              </c:extLst>
            </c:dLbl>
            <c:dLbl>
              <c:idx val="1"/>
              <c:layout>
                <c:manualLayout>
                  <c:x val="0.200430206933396"/>
                  <c:y val="-6.48438595139449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50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901060752773401"/>
                      <c:h val="8.27643443250715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4CD-4E08-B981-BF20889CBC0E}"/>
                </c:ext>
              </c:extLst>
            </c:dLbl>
            <c:dLbl>
              <c:idx val="2"/>
              <c:layout>
                <c:manualLayout>
                  <c:x val="0.23852851073065301"/>
                  <c:y val="9.9034258166752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CD-4E08-B981-BF20889CBC0E}"/>
                </c:ext>
              </c:extLst>
            </c:dLbl>
            <c:dLbl>
              <c:idx val="3"/>
              <c:layout>
                <c:manualLayout>
                  <c:x val="2.9816063841331598E-2"/>
                  <c:y val="0.117897926388991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CD-4E08-B981-BF20889CBC0E}"/>
                </c:ext>
              </c:extLst>
            </c:dLbl>
            <c:dLbl>
              <c:idx val="4"/>
              <c:layout>
                <c:manualLayout>
                  <c:x val="-0.13914163125954701"/>
                  <c:y val="9.4318341111192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CD-4E08-B981-BF20889CBC0E}"/>
                </c:ext>
              </c:extLst>
            </c:dLbl>
            <c:dLbl>
              <c:idx val="5"/>
              <c:layout>
                <c:manualLayout>
                  <c:x val="-0.202086654924581"/>
                  <c:y val="-1.1789792638899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CD-4E08-B981-BF20889CBC0E}"/>
                </c:ext>
              </c:extLst>
            </c:dLbl>
            <c:dLbl>
              <c:idx val="6"/>
              <c:layout>
                <c:manualLayout>
                  <c:x val="-0.24515430269539301"/>
                  <c:y val="-8.25285484722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CD-4E08-B981-BF20889CBC0E}"/>
                </c:ext>
              </c:extLst>
            </c:dLbl>
            <c:dLbl>
              <c:idx val="7"/>
              <c:layout>
                <c:manualLayout>
                  <c:x val="-0.13251583929480701"/>
                  <c:y val="-0.1155399678612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4CD-4E08-B981-BF20889CBC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'Loan Sizing'!$B$79:$B$86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Community Facility</c:v>
                </c:pt>
                <c:pt idx="5">
                  <c:v>Office</c:v>
                </c:pt>
                <c:pt idx="6">
                  <c:v>Industrial</c:v>
                </c:pt>
                <c:pt idx="7">
                  <c:v>Parking</c:v>
                </c:pt>
              </c:strCache>
            </c:strRef>
          </c:cat>
          <c:val>
            <c:numRef>
              <c:f>'Loan Sizing'!$H$68:$H$75</c:f>
              <c:numCache>
                <c:formatCode>#,##0_);\(#,##0\)</c:formatCode>
                <c:ptCount val="8"/>
                <c:pt idx="0">
                  <c:v>323241.01511111116</c:v>
                </c:pt>
                <c:pt idx="1">
                  <c:v>1292964.0604444447</c:v>
                </c:pt>
                <c:pt idx="2">
                  <c:v>476705</c:v>
                </c:pt>
                <c:pt idx="3">
                  <c:v>358884.81333333335</c:v>
                </c:pt>
                <c:pt idx="4">
                  <c:v>157335</c:v>
                </c:pt>
                <c:pt idx="5">
                  <c:v>1218102.111111111</c:v>
                </c:pt>
                <c:pt idx="6">
                  <c:v>234630</c:v>
                </c:pt>
                <c:pt idx="7">
                  <c:v>387000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2-451F-BD40-270E827F6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8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185851899463"/>
          <c:y val="0.650593992033071"/>
          <c:w val="0.67530880364282897"/>
          <c:h val="0.318752547105791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'Loan Sizing'!$B$91</c:f>
              <c:strCache>
                <c:ptCount val="1"/>
                <c:pt idx="0">
                  <c:v>Levered IRR with Opportunity Zone</c:v>
                </c:pt>
              </c:strCache>
            </c:strRef>
          </c:tx>
          <c:spPr>
            <a:solidFill>
              <a:srgbClr val="871531">
                <a:alpha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Sizing'!$E$91</c:f>
              <c:numCache>
                <c:formatCode>0.0%</c:formatCode>
                <c:ptCount val="1"/>
                <c:pt idx="0">
                  <c:v>0.30439856080056854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D-4816-A7EF-60F6D419F023}"/>
            </c:ext>
          </c:extLst>
        </c:ser>
        <c:ser>
          <c:idx val="1"/>
          <c:order val="1"/>
          <c:tx>
            <c:strRef>
              <c:f>'Loan Sizing'!$B$90</c:f>
              <c:strCache>
                <c:ptCount val="1"/>
                <c:pt idx="0">
                  <c:v>Levered IRR without Opportunity Zone</c:v>
                </c:pt>
              </c:strCache>
            </c:strRef>
          </c:tx>
          <c:spPr>
            <a:solidFill>
              <a:srgbClr val="871531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Sizing'!$E$90</c:f>
              <c:numCache>
                <c:formatCode>0.0%</c:formatCode>
                <c:ptCount val="1"/>
                <c:pt idx="0">
                  <c:v>0.22324328826435935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DD-4816-A7EF-60F6D419F023}"/>
            </c:ext>
          </c:extLst>
        </c:ser>
        <c:ser>
          <c:idx val="2"/>
          <c:order val="2"/>
          <c:tx>
            <c:strRef>
              <c:f>'Loan Sizing'!$B$89</c:f>
              <c:strCache>
                <c:ptCount val="1"/>
                <c:pt idx="0">
                  <c:v>Unlevered IRR</c:v>
                </c:pt>
              </c:strCache>
            </c:strRef>
          </c:tx>
          <c:spPr>
            <a:solidFill>
              <a:srgbClr val="87153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Sizing'!$E$89</c:f>
              <c:numCache>
                <c:formatCode>0.0%</c:formatCode>
                <c:ptCount val="1"/>
                <c:pt idx="0">
                  <c:v>0.13026177012390683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DD-4816-A7EF-60F6D419F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545392992"/>
        <c:axId val="-1545390160"/>
      </c:barChart>
      <c:catAx>
        <c:axId val="-1545392992"/>
        <c:scaling>
          <c:orientation val="minMax"/>
        </c:scaling>
        <c:delete val="1"/>
        <c:axPos val="l"/>
        <c:majorTickMark val="none"/>
        <c:minorTickMark val="none"/>
        <c:tickLblPos val="nextTo"/>
        <c:crossAx val="-1545390160"/>
        <c:crosses val="autoZero"/>
        <c:auto val="1"/>
        <c:lblAlgn val="ctr"/>
        <c:lblOffset val="100"/>
        <c:noMultiLvlLbl val="0"/>
      </c:catAx>
      <c:valAx>
        <c:axId val="-1545390160"/>
        <c:scaling>
          <c:orientation val="minMax"/>
        </c:scaling>
        <c:delete val="0"/>
        <c:axPos val="b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4539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'Loan Sizing'!$E$78</c:f>
              <c:strCache>
                <c:ptCount val="1"/>
                <c:pt idx="0">
                  <c:v>Yield-to-Cost</c:v>
                </c:pt>
              </c:strCache>
            </c:strRef>
          </c:tx>
          <c:spPr>
            <a:solidFill>
              <a:srgbClr val="871531">
                <a:alpha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'Loan Sizing'!$B$108:$B$115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Community Facility</c:v>
                </c:pt>
                <c:pt idx="5">
                  <c:v>Office</c:v>
                </c:pt>
                <c:pt idx="6">
                  <c:v>Industrial</c:v>
                </c:pt>
                <c:pt idx="7">
                  <c:v>Parking</c:v>
                </c:pt>
              </c:strCache>
            </c:strRef>
          </c:cat>
          <c:val>
            <c:numRef>
              <c:f>'Loan Sizing'!$E$108:$E$115</c:f>
              <c:numCache>
                <c:formatCode>0.0%</c:formatCode>
                <c:ptCount val="8"/>
                <c:pt idx="0">
                  <c:v>1.4876784006976538E-2</c:v>
                </c:pt>
                <c:pt idx="1">
                  <c:v>5.8660276516257714E-2</c:v>
                </c:pt>
                <c:pt idx="2">
                  <c:v>7.0003250371624012E-2</c:v>
                </c:pt>
                <c:pt idx="3">
                  <c:v>0.10056214230638552</c:v>
                </c:pt>
                <c:pt idx="4">
                  <c:v>1.0480955210620304E-2</c:v>
                </c:pt>
                <c:pt idx="5">
                  <c:v>7.6394814725446847E-2</c:v>
                </c:pt>
                <c:pt idx="6">
                  <c:v>0</c:v>
                </c:pt>
                <c:pt idx="7">
                  <c:v>2.3275540313214257E-2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A-4BED-B8D0-3C30989A428A}"/>
            </c:ext>
          </c:extLst>
        </c:ser>
        <c:ser>
          <c:idx val="3"/>
          <c:order val="1"/>
          <c:tx>
            <c:strRef>
              <c:f>'Loan Sizing'!$F$78</c:f>
              <c:strCache>
                <c:ptCount val="1"/>
                <c:pt idx="0">
                  <c:v>Yield-to-Cost after Subsidies</c:v>
                </c:pt>
              </c:strCache>
            </c:strRef>
          </c:tx>
          <c:spPr>
            <a:solidFill>
              <a:srgbClr val="871531">
                <a:alpha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'Loan Sizing'!$B$108:$B$115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Community Facility</c:v>
                </c:pt>
                <c:pt idx="5">
                  <c:v>Office</c:v>
                </c:pt>
                <c:pt idx="6">
                  <c:v>Industrial</c:v>
                </c:pt>
                <c:pt idx="7">
                  <c:v>Parking</c:v>
                </c:pt>
              </c:strCache>
            </c:strRef>
          </c:cat>
          <c:val>
            <c:numRef>
              <c:f>'Loan Sizing'!$F$108:$F$115</c:f>
              <c:numCache>
                <c:formatCode>0.0%</c:formatCode>
                <c:ptCount val="8"/>
                <c:pt idx="0">
                  <c:v>4.0443899438742686E-2</c:v>
                </c:pt>
                <c:pt idx="1">
                  <c:v>7.4385765628689135E-2</c:v>
                </c:pt>
                <c:pt idx="2">
                  <c:v>8.5960989823910469E-2</c:v>
                </c:pt>
                <c:pt idx="3">
                  <c:v>0.1234859988011911</c:v>
                </c:pt>
                <c:pt idx="4">
                  <c:v>2.1178282592693914E-2</c:v>
                </c:pt>
                <c:pt idx="5">
                  <c:v>9.3809556789888726E-2</c:v>
                </c:pt>
                <c:pt idx="6">
                  <c:v>0</c:v>
                </c:pt>
                <c:pt idx="7">
                  <c:v>2.8581365485012583E-2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8A-4BED-B8D0-3C30989A428A}"/>
            </c:ext>
          </c:extLst>
        </c:ser>
        <c:ser>
          <c:idx val="4"/>
          <c:order val="2"/>
          <c:tx>
            <c:strRef>
              <c:f>'Loan Sizing'!$G$78</c:f>
              <c:strCache>
                <c:ptCount val="1"/>
                <c:pt idx="0">
                  <c:v>Exit Cap Rate</c:v>
                </c:pt>
              </c:strCache>
            </c:strRef>
          </c:tx>
          <c:spPr>
            <a:solidFill>
              <a:srgbClr val="871531"/>
            </a:solidFill>
            <a:ln>
              <a:noFill/>
            </a:ln>
            <a:effectLst/>
          </c:spPr>
          <c:invertIfNegative val="0"/>
          <c:cat>
            <c:strRef>
              <c:f>'Loan Sizing'!$B$108:$B$115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Community Facility</c:v>
                </c:pt>
                <c:pt idx="5">
                  <c:v>Office</c:v>
                </c:pt>
                <c:pt idx="6">
                  <c:v>Industrial</c:v>
                </c:pt>
                <c:pt idx="7">
                  <c:v>Parking</c:v>
                </c:pt>
              </c:strCache>
            </c:strRef>
          </c:cat>
          <c:val>
            <c:numRef>
              <c:f>'Loan Sizing'!$G$108:$G$115</c:f>
              <c:numCache>
                <c:formatCode>0.0%</c:formatCode>
                <c:ptCount val="8"/>
                <c:pt idx="0">
                  <c:v>5.7500000000000002E-2</c:v>
                </c:pt>
                <c:pt idx="1">
                  <c:v>5.5E-2</c:v>
                </c:pt>
                <c:pt idx="2">
                  <c:v>6.5000000000000002E-2</c:v>
                </c:pt>
                <c:pt idx="3">
                  <c:v>0.08</c:v>
                </c:pt>
                <c:pt idx="4">
                  <c:v>6.7500000000000004E-2</c:v>
                </c:pt>
                <c:pt idx="5">
                  <c:v>6.5000000000000002E-2</c:v>
                </c:pt>
                <c:pt idx="6">
                  <c:v>0</c:v>
                </c:pt>
                <c:pt idx="7">
                  <c:v>6.5000000000000002E-2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8A-4BED-B8D0-3C30989A4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45360480"/>
        <c:axId val="-1545358160"/>
      </c:barChart>
      <c:catAx>
        <c:axId val="-154536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45358160"/>
        <c:crosses val="autoZero"/>
        <c:auto val="1"/>
        <c:lblAlgn val="ctr"/>
        <c:lblOffset val="100"/>
        <c:noMultiLvlLbl val="0"/>
      </c:catAx>
      <c:valAx>
        <c:axId val="-154535816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45360480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Montserrat" panose="00000500000000000000" pitchFamily="50" charset="0"/>
                <a:cs typeface="Arial" panose="020B0604020202020204" pitchFamily="34" charset="0"/>
              </a:rPr>
              <a:t>Project Breakdown by Gross SF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436622995567499"/>
          <c:y val="0.17476721198006101"/>
          <c:w val="0.49114491598287102"/>
          <c:h val="0.3495730424863199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1BE1D">
                  <a:alpha val="7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8F-48A4-9D0B-2A92FB7BD7BB}"/>
              </c:ext>
            </c:extLst>
          </c:dPt>
          <c:dPt>
            <c:idx val="1"/>
            <c:bubble3D val="0"/>
            <c:spPr>
              <a:solidFill>
                <a:srgbClr val="E1BE1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8F-48A4-9D0B-2A92FB7BD7BB}"/>
              </c:ext>
            </c:extLst>
          </c:dPt>
          <c:dPt>
            <c:idx val="2"/>
            <c:bubble3D val="0"/>
            <c:spPr>
              <a:solidFill>
                <a:srgbClr val="87153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A8F-48A4-9D0B-2A92FB7BD7BB}"/>
              </c:ext>
            </c:extLst>
          </c:dPt>
          <c:dPt>
            <c:idx val="3"/>
            <c:bubble3D val="0"/>
            <c:spPr>
              <a:solidFill>
                <a:srgbClr val="A17A9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A8F-48A4-9D0B-2A92FB7BD7BB}"/>
              </c:ext>
            </c:extLst>
          </c:dPt>
          <c:dPt>
            <c:idx val="4"/>
            <c:bubble3D val="0"/>
            <c:spPr>
              <a:solidFill>
                <a:srgbClr val="D15A5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A8F-48A4-9D0B-2A92FB7BD7BB}"/>
              </c:ext>
            </c:extLst>
          </c:dPt>
          <c:dPt>
            <c:idx val="5"/>
            <c:bubble3D val="0"/>
            <c:spPr>
              <a:solidFill>
                <a:srgbClr val="6ABBD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A8F-48A4-9D0B-2A92FB7BD7B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A8F-48A4-9D0B-2A92FB7BD7BB}"/>
              </c:ext>
            </c:extLst>
          </c:dPt>
          <c:dPt>
            <c:idx val="7"/>
            <c:bubble3D val="0"/>
            <c:spPr>
              <a:solidFill>
                <a:srgbClr val="B7B7B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A8F-48A4-9D0B-2A92FB7BD7BB}"/>
              </c:ext>
            </c:extLst>
          </c:dPt>
          <c:dLbls>
            <c:dLbl>
              <c:idx val="0"/>
              <c:layout>
                <c:manualLayout>
                  <c:x val="0.17227059108324899"/>
                  <c:y val="-0.1155399464093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8F-48A4-9D0B-2A92FB7BD7BB}"/>
                </c:ext>
              </c:extLst>
            </c:dLbl>
            <c:dLbl>
              <c:idx val="1"/>
              <c:layout>
                <c:manualLayout>
                  <c:x val="0.18220927903035999"/>
                  <c:y val="-8.7244449329522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8F-48A4-9D0B-2A92FB7BD7BB}"/>
                </c:ext>
              </c:extLst>
            </c:dLbl>
            <c:dLbl>
              <c:idx val="2"/>
              <c:layout>
                <c:manualLayout>
                  <c:x val="0.17558348706561899"/>
                  <c:y val="8.9602407419510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8F-48A4-9D0B-2A92FB7BD7BB}"/>
                </c:ext>
              </c:extLst>
            </c:dLbl>
            <c:dLbl>
              <c:idx val="3"/>
              <c:layout>
                <c:manualLayout>
                  <c:x val="-0.13251583929480701"/>
                  <c:y val="0.113181988319381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8F-48A4-9D0B-2A92FB7BD7BB}"/>
                </c:ext>
              </c:extLst>
            </c:dLbl>
            <c:dLbl>
              <c:idx val="4"/>
              <c:layout>
                <c:manualLayout>
                  <c:x val="-0.215338238854061"/>
                  <c:y val="7.3096700789600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8F-48A4-9D0B-2A92FB7BD7BB}"/>
                </c:ext>
              </c:extLst>
            </c:dLbl>
            <c:dLbl>
              <c:idx val="5"/>
              <c:layout>
                <c:manualLayout>
                  <c:x val="-0.202086654924581"/>
                  <c:y val="-8.2528533149548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8F-48A4-9D0B-2A92FB7BD7B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8F-48A4-9D0B-2A92FB7BD7BB}"/>
                </c:ext>
              </c:extLst>
            </c:dLbl>
            <c:dLbl>
              <c:idx val="7"/>
              <c:layout>
                <c:manualLayout>
                  <c:x val="-0.12257715134769701"/>
                  <c:y val="-0.106108114049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8F-48A4-9D0B-2A92FB7BD7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'Loan Sizing'!$B$97:$B$104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Community Facility</c:v>
                </c:pt>
                <c:pt idx="5">
                  <c:v>Office</c:v>
                </c:pt>
                <c:pt idx="6">
                  <c:v>Industrial</c:v>
                </c:pt>
                <c:pt idx="7">
                  <c:v>Parking</c:v>
                </c:pt>
              </c:strCache>
            </c:strRef>
          </c:cat>
          <c:val>
            <c:numRef>
              <c:f>'Loan Sizing'!$H$97:$H$104</c:f>
              <c:numCache>
                <c:formatCode>#,##0_);\(#,##0\)</c:formatCode>
                <c:ptCount val="8"/>
                <c:pt idx="0">
                  <c:v>125993.56</c:v>
                </c:pt>
                <c:pt idx="1">
                  <c:v>503974.24</c:v>
                </c:pt>
                <c:pt idx="2">
                  <c:v>244375</c:v>
                </c:pt>
                <c:pt idx="3">
                  <c:v>208084.2</c:v>
                </c:pt>
                <c:pt idx="4">
                  <c:v>79125</c:v>
                </c:pt>
                <c:pt idx="5">
                  <c:v>455632</c:v>
                </c:pt>
                <c:pt idx="6">
                  <c:v>0</c:v>
                </c:pt>
                <c:pt idx="7">
                  <c:v>83000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A8F-48A4-9D0B-2A92FB7BD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8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'Loan Sizing'!$B$120</c:f>
              <c:strCache>
                <c:ptCount val="1"/>
                <c:pt idx="0">
                  <c:v>Levered IRR with Opportunity Zone</c:v>
                </c:pt>
              </c:strCache>
            </c:strRef>
          </c:tx>
          <c:spPr>
            <a:solidFill>
              <a:srgbClr val="871531">
                <a:alpha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Sizing'!$E$120</c:f>
              <c:numCache>
                <c:formatCode>0.0%</c:formatCode>
                <c:ptCount val="1"/>
                <c:pt idx="0">
                  <c:v>0.29690186695228693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4-418D-9C32-A16414CCB83D}"/>
            </c:ext>
          </c:extLst>
        </c:ser>
        <c:ser>
          <c:idx val="1"/>
          <c:order val="1"/>
          <c:tx>
            <c:strRef>
              <c:f>'Loan Sizing'!$B$119</c:f>
              <c:strCache>
                <c:ptCount val="1"/>
                <c:pt idx="0">
                  <c:v>Levered IRR without Opportunity Zone</c:v>
                </c:pt>
              </c:strCache>
            </c:strRef>
          </c:tx>
          <c:spPr>
            <a:solidFill>
              <a:srgbClr val="871531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Sizing'!$E$119</c:f>
              <c:numCache>
                <c:formatCode>0.0%</c:formatCode>
                <c:ptCount val="1"/>
                <c:pt idx="0">
                  <c:v>0.20216207550226173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4-418D-9C32-A16414CCB83D}"/>
            </c:ext>
          </c:extLst>
        </c:ser>
        <c:ser>
          <c:idx val="2"/>
          <c:order val="2"/>
          <c:tx>
            <c:strRef>
              <c:f>'Loan Sizing'!$B$118</c:f>
              <c:strCache>
                <c:ptCount val="1"/>
                <c:pt idx="0">
                  <c:v>Unlevered IRR</c:v>
                </c:pt>
              </c:strCache>
            </c:strRef>
          </c:tx>
          <c:spPr>
            <a:solidFill>
              <a:srgbClr val="87153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Sizing'!$E$118</c:f>
              <c:numCache>
                <c:formatCode>0.0%</c:formatCode>
                <c:ptCount val="1"/>
                <c:pt idx="0">
                  <c:v>0.11972944419183973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4-418D-9C32-A16414CCB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545317072"/>
        <c:axId val="-1545314240"/>
      </c:barChart>
      <c:catAx>
        <c:axId val="-1545317072"/>
        <c:scaling>
          <c:orientation val="minMax"/>
        </c:scaling>
        <c:delete val="1"/>
        <c:axPos val="l"/>
        <c:majorTickMark val="none"/>
        <c:minorTickMark val="none"/>
        <c:tickLblPos val="nextTo"/>
        <c:crossAx val="-1545314240"/>
        <c:crosses val="autoZero"/>
        <c:auto val="1"/>
        <c:lblAlgn val="ctr"/>
        <c:lblOffset val="100"/>
        <c:noMultiLvlLbl val="0"/>
      </c:catAx>
      <c:valAx>
        <c:axId val="-1545314240"/>
        <c:scaling>
          <c:orientation val="minMax"/>
        </c:scaling>
        <c:delete val="0"/>
        <c:axPos val="b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4531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'Loan Sizing'!$E$78</c:f>
              <c:strCache>
                <c:ptCount val="1"/>
                <c:pt idx="0">
                  <c:v>Yield-to-Cost</c:v>
                </c:pt>
              </c:strCache>
            </c:strRef>
          </c:tx>
          <c:spPr>
            <a:solidFill>
              <a:srgbClr val="871531">
                <a:alpha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'Loan Sizing'!$B$137:$B$144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Community Facility</c:v>
                </c:pt>
                <c:pt idx="5">
                  <c:v>Office</c:v>
                </c:pt>
                <c:pt idx="6">
                  <c:v>Industrial</c:v>
                </c:pt>
                <c:pt idx="7">
                  <c:v>Parking</c:v>
                </c:pt>
              </c:strCache>
            </c:strRef>
          </c:cat>
          <c:val>
            <c:numRef>
              <c:f>'Loan Sizing'!$E$137:$E$144</c:f>
              <c:numCache>
                <c:formatCode>0.0%</c:formatCode>
                <c:ptCount val="8"/>
                <c:pt idx="0">
                  <c:v>1.1296053975704073E-2</c:v>
                </c:pt>
                <c:pt idx="1">
                  <c:v>6.0173284143471957E-2</c:v>
                </c:pt>
                <c:pt idx="2">
                  <c:v>7.7898341866049089E-2</c:v>
                </c:pt>
                <c:pt idx="3">
                  <c:v>0.10560557341038464</c:v>
                </c:pt>
                <c:pt idx="4" formatCode="General">
                  <c:v>0</c:v>
                </c:pt>
                <c:pt idx="5">
                  <c:v>8.0920664766031589E-2</c:v>
                </c:pt>
                <c:pt idx="6">
                  <c:v>0</c:v>
                </c:pt>
                <c:pt idx="7">
                  <c:v>2.016147411706069E-2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8-4218-AC4F-EC613C0B228E}"/>
            </c:ext>
          </c:extLst>
        </c:ser>
        <c:ser>
          <c:idx val="3"/>
          <c:order val="1"/>
          <c:tx>
            <c:strRef>
              <c:f>'Loan Sizing'!$F$78</c:f>
              <c:strCache>
                <c:ptCount val="1"/>
                <c:pt idx="0">
                  <c:v>Yield-to-Cost after Subsidies</c:v>
                </c:pt>
              </c:strCache>
            </c:strRef>
          </c:tx>
          <c:spPr>
            <a:solidFill>
              <a:srgbClr val="871531">
                <a:alpha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'Loan Sizing'!$B$137:$B$144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Community Facility</c:v>
                </c:pt>
                <c:pt idx="5">
                  <c:v>Office</c:v>
                </c:pt>
                <c:pt idx="6">
                  <c:v>Industrial</c:v>
                </c:pt>
                <c:pt idx="7">
                  <c:v>Parking</c:v>
                </c:pt>
              </c:strCache>
            </c:strRef>
          </c:cat>
          <c:val>
            <c:numRef>
              <c:f>'Loan Sizing'!$F$137:$F$144</c:f>
              <c:numCache>
                <c:formatCode>0.0%</c:formatCode>
                <c:ptCount val="8"/>
                <c:pt idx="0">
                  <c:v>3.1464392617885056E-2</c:v>
                </c:pt>
                <c:pt idx="1">
                  <c:v>7.4894157960272711E-2</c:v>
                </c:pt>
                <c:pt idx="2">
                  <c:v>9.6955497836029872E-2</c:v>
                </c:pt>
                <c:pt idx="3">
                  <c:v>0.1314410640712981</c:v>
                </c:pt>
                <c:pt idx="4">
                  <c:v>0</c:v>
                </c:pt>
                <c:pt idx="5">
                  <c:v>0.10071720590797985</c:v>
                </c:pt>
                <c:pt idx="6">
                  <c:v>0</c:v>
                </c:pt>
                <c:pt idx="7">
                  <c:v>3.3342228713500802E-2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C8-4218-AC4F-EC613C0B228E}"/>
            </c:ext>
          </c:extLst>
        </c:ser>
        <c:ser>
          <c:idx val="4"/>
          <c:order val="2"/>
          <c:tx>
            <c:strRef>
              <c:f>'Loan Sizing'!$G$78</c:f>
              <c:strCache>
                <c:ptCount val="1"/>
                <c:pt idx="0">
                  <c:v>Exit Cap Rate</c:v>
                </c:pt>
              </c:strCache>
            </c:strRef>
          </c:tx>
          <c:spPr>
            <a:solidFill>
              <a:srgbClr val="871531"/>
            </a:solidFill>
            <a:ln>
              <a:noFill/>
            </a:ln>
            <a:effectLst/>
          </c:spPr>
          <c:invertIfNegative val="0"/>
          <c:cat>
            <c:strRef>
              <c:f>'Loan Sizing'!$B$137:$B$144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Community Facility</c:v>
                </c:pt>
                <c:pt idx="5">
                  <c:v>Office</c:v>
                </c:pt>
                <c:pt idx="6">
                  <c:v>Industrial</c:v>
                </c:pt>
                <c:pt idx="7">
                  <c:v>Parking</c:v>
                </c:pt>
              </c:strCache>
            </c:strRef>
          </c:cat>
          <c:val>
            <c:numRef>
              <c:f>'Loan Sizing'!$G$137:$G$144</c:f>
              <c:numCache>
                <c:formatCode>0.0%</c:formatCode>
                <c:ptCount val="8"/>
                <c:pt idx="0">
                  <c:v>5.7500000000000002E-2</c:v>
                </c:pt>
                <c:pt idx="1">
                  <c:v>5.5E-2</c:v>
                </c:pt>
                <c:pt idx="2">
                  <c:v>6.5000000000000002E-2</c:v>
                </c:pt>
                <c:pt idx="3">
                  <c:v>0.08</c:v>
                </c:pt>
                <c:pt idx="4">
                  <c:v>0</c:v>
                </c:pt>
                <c:pt idx="5">
                  <c:v>6.5000000000000002E-2</c:v>
                </c:pt>
                <c:pt idx="6">
                  <c:v>0</c:v>
                </c:pt>
                <c:pt idx="7">
                  <c:v>6.5000000000000002E-2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C8-4218-AC4F-EC613C0B2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82976672"/>
        <c:axId val="-1582974624"/>
      </c:barChart>
      <c:catAx>
        <c:axId val="-158297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82974624"/>
        <c:crosses val="autoZero"/>
        <c:auto val="1"/>
        <c:lblAlgn val="ctr"/>
        <c:lblOffset val="100"/>
        <c:noMultiLvlLbl val="0"/>
      </c:catAx>
      <c:valAx>
        <c:axId val="-158297462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8297667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34638</xdr:colOff>
      <xdr:row>0</xdr:row>
      <xdr:rowOff>34636</xdr:rowOff>
    </xdr:from>
    <xdr:to>
      <xdr:col>2</xdr:col>
      <xdr:colOff>404093</xdr:colOff>
      <xdr:row>0</xdr:row>
      <xdr:rowOff>851968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472287-3DAE-438D-A07C-D5EEF4215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38" y="34636"/>
          <a:ext cx="2563091" cy="817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23091</xdr:colOff>
      <xdr:row>0</xdr:row>
      <xdr:rowOff>34637</xdr:rowOff>
    </xdr:from>
    <xdr:to>
      <xdr:col>1</xdr:col>
      <xdr:colOff>2586182</xdr:colOff>
      <xdr:row>0</xdr:row>
      <xdr:rowOff>851969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BA7BEC9-A1D4-47F0-B42E-06E355CFB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364" y="34637"/>
          <a:ext cx="2563091" cy="8173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577272</xdr:colOff>
      <xdr:row>39</xdr:row>
      <xdr:rowOff>117764</xdr:rowOff>
    </xdr:from>
    <xdr:to>
      <xdr:col>7</xdr:col>
      <xdr:colOff>968374</xdr:colOff>
      <xdr:row>55</xdr:row>
      <xdr:rowOff>150091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9511E-DDCD-464A-99CC-04D9BFECEB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565727</xdr:colOff>
      <xdr:row>55</xdr:row>
      <xdr:rowOff>199159</xdr:rowOff>
    </xdr:from>
    <xdr:to>
      <xdr:col>7</xdr:col>
      <xdr:colOff>971260</xdr:colOff>
      <xdr:row>72</xdr:row>
      <xdr:rowOff>25111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67FFD4-0644-49DB-B158-C402F05F4C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981363</xdr:colOff>
      <xdr:row>67</xdr:row>
      <xdr:rowOff>69273</xdr:rowOff>
    </xdr:from>
    <xdr:to>
      <xdr:col>14</xdr:col>
      <xdr:colOff>923635</xdr:colOff>
      <xdr:row>83</xdr:row>
      <xdr:rowOff>46182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02F424-8B5B-463E-BF0D-47600FB3A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854363</xdr:colOff>
      <xdr:row>67</xdr:row>
      <xdr:rowOff>47770</xdr:rowOff>
    </xdr:from>
    <xdr:to>
      <xdr:col>17</xdr:col>
      <xdr:colOff>1789545</xdr:colOff>
      <xdr:row>93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4FA3F8D-C22F-47D4-A161-A2D0C2AD45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161637</xdr:colOff>
      <xdr:row>82</xdr:row>
      <xdr:rowOff>187036</xdr:rowOff>
    </xdr:from>
    <xdr:to>
      <xdr:col>14</xdr:col>
      <xdr:colOff>819728</xdr:colOff>
      <xdr:row>93</xdr:row>
      <xdr:rowOff>173181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7C8A1D6-EB09-4D96-A7FF-A51D233577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981363</xdr:colOff>
      <xdr:row>96</xdr:row>
      <xdr:rowOff>69273</xdr:rowOff>
    </xdr:from>
    <xdr:to>
      <xdr:col>14</xdr:col>
      <xdr:colOff>923635</xdr:colOff>
      <xdr:row>112</xdr:row>
      <xdr:rowOff>46182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7B4D089-288D-484B-B257-7E2318D5F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854363</xdr:colOff>
      <xdr:row>96</xdr:row>
      <xdr:rowOff>47770</xdr:rowOff>
    </xdr:from>
    <xdr:to>
      <xdr:col>17</xdr:col>
      <xdr:colOff>1789545</xdr:colOff>
      <xdr:row>122</xdr:row>
      <xdr:rowOff>127000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EF1C771-049C-43D7-9BE4-9B8DDAC7C9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161637</xdr:colOff>
      <xdr:row>111</xdr:row>
      <xdr:rowOff>187036</xdr:rowOff>
    </xdr:from>
    <xdr:to>
      <xdr:col>14</xdr:col>
      <xdr:colOff>819728</xdr:colOff>
      <xdr:row>122</xdr:row>
      <xdr:rowOff>173181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F97BA8B-05EC-40FD-BDFF-1187431B2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981363</xdr:colOff>
      <xdr:row>125</xdr:row>
      <xdr:rowOff>69273</xdr:rowOff>
    </xdr:from>
    <xdr:to>
      <xdr:col>14</xdr:col>
      <xdr:colOff>923635</xdr:colOff>
      <xdr:row>141</xdr:row>
      <xdr:rowOff>46182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A5790CE-EEF6-4EB2-B50B-F6124946E7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854363</xdr:colOff>
      <xdr:row>125</xdr:row>
      <xdr:rowOff>47770</xdr:rowOff>
    </xdr:from>
    <xdr:to>
      <xdr:col>17</xdr:col>
      <xdr:colOff>1789545</xdr:colOff>
      <xdr:row>151</xdr:row>
      <xdr:rowOff>127000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C46FC33-988C-4240-8ECC-1954F9F3CA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161637</xdr:colOff>
      <xdr:row>140</xdr:row>
      <xdr:rowOff>187036</xdr:rowOff>
    </xdr:from>
    <xdr:to>
      <xdr:col>14</xdr:col>
      <xdr:colOff>819728</xdr:colOff>
      <xdr:row>151</xdr:row>
      <xdr:rowOff>173181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7560F92-F3B9-461D-8540-F76D6ACE65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981363</xdr:colOff>
      <xdr:row>154</xdr:row>
      <xdr:rowOff>69273</xdr:rowOff>
    </xdr:from>
    <xdr:to>
      <xdr:col>14</xdr:col>
      <xdr:colOff>923635</xdr:colOff>
      <xdr:row>170</xdr:row>
      <xdr:rowOff>46182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47B5FBE-D6EC-4835-BB54-8788DF1DF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854363</xdr:colOff>
      <xdr:row>154</xdr:row>
      <xdr:rowOff>47770</xdr:rowOff>
    </xdr:from>
    <xdr:to>
      <xdr:col>17</xdr:col>
      <xdr:colOff>1789545</xdr:colOff>
      <xdr:row>180</xdr:row>
      <xdr:rowOff>127000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3261613-6783-4A05-9821-657BE43B87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161637</xdr:colOff>
      <xdr:row>169</xdr:row>
      <xdr:rowOff>187036</xdr:rowOff>
    </xdr:from>
    <xdr:to>
      <xdr:col>14</xdr:col>
      <xdr:colOff>819728</xdr:colOff>
      <xdr:row>180</xdr:row>
      <xdr:rowOff>173181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51A7B1A-05D9-4B0E-8E0F-FF2006A3B5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ichigan.gov/documents/Vol2-28UIP1Foundations-Frames_121070_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P151"/>
  <sheetViews>
    <sheetView showGridLines="0" showWhiteSpace="0" view="pageBreakPreview" topLeftCell="A101" zoomScale="55" zoomScaleNormal="70" zoomScaleSheetLayoutView="55" workbookViewId="0">
      <selection activeCell="B112" sqref="B112"/>
    </sheetView>
  </sheetViews>
  <sheetFormatPr defaultColWidth="9.1796875" defaultRowHeight="14.25" customHeight="1" outlineLevelRow="1" x14ac:dyDescent="0.35"/>
  <cols>
    <col min="1" max="1" width="5" style="392" customWidth="1"/>
    <col min="2" max="2" width="31.453125" style="232" customWidth="1"/>
    <col min="3" max="3" width="25.81640625" style="232" customWidth="1"/>
    <col min="4" max="4" width="14.453125" style="253" customWidth="1"/>
    <col min="5" max="5" width="15.453125" style="232" customWidth="1"/>
    <col min="6" max="6" width="15.453125" style="232" bestFit="1" customWidth="1"/>
    <col min="7" max="7" width="15" style="232" bestFit="1" customWidth="1"/>
    <col min="8" max="8" width="15.453125" style="232" bestFit="1" customWidth="1"/>
    <col min="9" max="9" width="16.453125" style="232" customWidth="1"/>
    <col min="10" max="10" width="17.1796875" style="232" customWidth="1"/>
    <col min="11" max="11" width="14" style="232" bestFit="1" customWidth="1"/>
    <col min="12" max="13" width="13.81640625" style="232" bestFit="1" customWidth="1"/>
    <col min="14" max="14" width="16.81640625" style="232" bestFit="1" customWidth="1"/>
    <col min="15" max="15" width="5.81640625" style="392" customWidth="1"/>
    <col min="16" max="16" width="18" style="392" bestFit="1" customWidth="1"/>
    <col min="17" max="16384" width="9.1796875" style="392"/>
  </cols>
  <sheetData>
    <row r="1" spans="2:16" ht="95.25" customHeight="1" x14ac:dyDescent="0.35"/>
    <row r="2" spans="2:16" ht="19" customHeight="1" x14ac:dyDescent="0.35">
      <c r="B2" s="319" t="s">
        <v>742</v>
      </c>
      <c r="D2" s="710"/>
    </row>
    <row r="3" spans="2:16" ht="19" customHeight="1" x14ac:dyDescent="0.35">
      <c r="B3" s="319"/>
      <c r="D3" s="710"/>
    </row>
    <row r="4" spans="2:16" s="583" customFormat="1" ht="19" customHeight="1" x14ac:dyDescent="0.35">
      <c r="B4" s="37" t="s">
        <v>22</v>
      </c>
      <c r="C4" s="38"/>
      <c r="D4" s="38"/>
      <c r="E4" s="37"/>
      <c r="F4" s="46"/>
      <c r="G4" s="46"/>
      <c r="H4" s="46"/>
      <c r="I4" s="782"/>
      <c r="J4" s="782"/>
      <c r="K4" s="782"/>
      <c r="L4" s="782"/>
      <c r="M4" s="782"/>
      <c r="N4" s="782"/>
    </row>
    <row r="5" spans="2:16" ht="19" customHeight="1" x14ac:dyDescent="0.35">
      <c r="B5" s="231"/>
      <c r="C5" s="231"/>
      <c r="D5" s="284" t="s">
        <v>21</v>
      </c>
      <c r="F5" s="279" t="s">
        <v>381</v>
      </c>
      <c r="G5" s="266"/>
      <c r="H5" s="274" t="s">
        <v>384</v>
      </c>
      <c r="I5" s="266"/>
      <c r="J5" s="266"/>
      <c r="K5" s="266"/>
      <c r="L5" s="266"/>
      <c r="M5" s="266"/>
      <c r="N5" s="288" t="s">
        <v>434</v>
      </c>
    </row>
    <row r="6" spans="2:16" ht="19" customHeight="1" x14ac:dyDescent="0.35">
      <c r="B6" s="234"/>
      <c r="C6" s="234"/>
      <c r="D6" s="285" t="s">
        <v>54</v>
      </c>
      <c r="E6" s="235">
        <v>2021</v>
      </c>
      <c r="F6" s="280">
        <f>E6+1</f>
        <v>2022</v>
      </c>
      <c r="G6" s="235">
        <f t="shared" ref="G6:L6" si="0">F6+1</f>
        <v>2023</v>
      </c>
      <c r="H6" s="275">
        <f t="shared" si="0"/>
        <v>2024</v>
      </c>
      <c r="I6" s="235">
        <f t="shared" si="0"/>
        <v>2025</v>
      </c>
      <c r="J6" s="235">
        <f t="shared" si="0"/>
        <v>2026</v>
      </c>
      <c r="K6" s="235">
        <f t="shared" si="0"/>
        <v>2027</v>
      </c>
      <c r="L6" s="235">
        <f t="shared" si="0"/>
        <v>2028</v>
      </c>
      <c r="M6" s="235">
        <f>L6+1</f>
        <v>2029</v>
      </c>
      <c r="N6" s="289">
        <f>M6+1</f>
        <v>2030</v>
      </c>
    </row>
    <row r="7" spans="2:16" ht="19" customHeight="1" x14ac:dyDescent="0.35">
      <c r="B7" s="234"/>
      <c r="C7" s="234"/>
      <c r="D7" s="285">
        <v>2020</v>
      </c>
      <c r="E7" s="235">
        <f>+D7+1</f>
        <v>2021</v>
      </c>
      <c r="F7" s="280">
        <f t="shared" ref="F7:M7" si="1">+E7+1</f>
        <v>2022</v>
      </c>
      <c r="G7" s="235">
        <f t="shared" si="1"/>
        <v>2023</v>
      </c>
      <c r="H7" s="275">
        <f t="shared" si="1"/>
        <v>2024</v>
      </c>
      <c r="I7" s="235">
        <f t="shared" si="1"/>
        <v>2025</v>
      </c>
      <c r="J7" s="235">
        <f t="shared" si="1"/>
        <v>2026</v>
      </c>
      <c r="K7" s="235">
        <f t="shared" si="1"/>
        <v>2027</v>
      </c>
      <c r="L7" s="235">
        <f t="shared" si="1"/>
        <v>2028</v>
      </c>
      <c r="M7" s="235">
        <f t="shared" si="1"/>
        <v>2029</v>
      </c>
      <c r="N7" s="289">
        <f>+M7+1</f>
        <v>2030</v>
      </c>
    </row>
    <row r="8" spans="2:16" ht="19" customHeight="1" x14ac:dyDescent="0.35">
      <c r="B8" s="272" t="s">
        <v>0</v>
      </c>
      <c r="C8" s="267"/>
      <c r="D8" s="285"/>
      <c r="E8" s="258"/>
      <c r="F8" s="281"/>
      <c r="G8" s="258"/>
      <c r="H8" s="276"/>
      <c r="I8" s="258"/>
      <c r="J8" s="258"/>
      <c r="K8" s="258"/>
      <c r="L8" s="258"/>
      <c r="M8" s="263"/>
      <c r="N8" s="290"/>
    </row>
    <row r="9" spans="2:16" ht="19" customHeight="1" x14ac:dyDescent="0.35">
      <c r="B9" s="294" t="s">
        <v>433</v>
      </c>
      <c r="C9" s="295"/>
      <c r="D9" s="286">
        <f ca="1">+SUMIF('Phase I Pro Forma'!$F$6:$Z$6,'Official Summary'!D$7,'Phase I Pro Forma'!$F$49:$Z$49)+SUMIF('Phase II Pro Forma'!$F$6:$Z$6,'Official Summary'!D$7,'Phase II Pro Forma'!$F$49:$Z$49)+SUMIF('Phase III Pro Forma'!$F$6:$Z$6,'Official Summary'!D$7,'Phase III Pro Forma'!$F$49:$Z$49)</f>
        <v>0</v>
      </c>
      <c r="E9" s="268">
        <f ca="1">+SUMIF('Phase I Pro Forma'!$F$6:$Z$6,'Official Summary'!E$7,'Phase I Pro Forma'!$F$49:$Z$49)+SUMIF('Phase II Pro Forma'!$F$6:$Z$6,'Official Summary'!E$7,'Phase II Pro Forma'!$F$49:$Z$49)+SUMIF('Phase III Pro Forma'!$F$6:$Z$6,'Official Summary'!E$7,'Phase III Pro Forma'!$F$49:$Z$49)</f>
        <v>0</v>
      </c>
      <c r="F9" s="282">
        <f ca="1">+SUMIF('Phase I Pro Forma'!$F$6:$Z$6,'Official Summary'!F$7,'Phase I Pro Forma'!$F$49:$Z$49)+SUMIF('Phase II Pro Forma'!$F$6:$Z$6,'Official Summary'!F$7,'Phase II Pro Forma'!$F$49:$Z$49)+SUMIF('Phase III Pro Forma'!$F$6:$Z$6,'Official Summary'!F$7,'Phase III Pro Forma'!$F$49:$Z$49)</f>
        <v>0</v>
      </c>
      <c r="G9" s="268">
        <f ca="1">+SUMIF('Phase I Pro Forma'!$F$6:$Z$6,'Official Summary'!G$7,'Phase I Pro Forma'!$F$49:$Z$49)+SUMIF('Phase II Pro Forma'!$F$6:$Z$6,'Official Summary'!G$7,'Phase II Pro Forma'!$F$49:$Z$49)+SUMIF('Phase III Pro Forma'!$F$6:$Z$6,'Official Summary'!G$7,'Phase III Pro Forma'!$F$49:$Z$49)</f>
        <v>3454042.4709418081</v>
      </c>
      <c r="H9" s="277">
        <f ca="1">+SUMIF('Phase I Pro Forma'!$F$6:$Z$6,'Official Summary'!H$7,'Phase I Pro Forma'!$F$49:$Z$49)+SUMIF('Phase II Pro Forma'!$F$6:$Z$6,'Official Summary'!H$7,'Phase II Pro Forma'!$F$49:$Z$49)+SUMIF('Phase III Pro Forma'!$F$6:$Z$6,'Official Summary'!H$7,'Phase III Pro Forma'!$F$49:$Z$49)</f>
        <v>7130434.8110135663</v>
      </c>
      <c r="I9" s="268">
        <f ca="1">+SUMIF('Phase I Pro Forma'!$F$6:$Z$6,'Official Summary'!I$7,'Phase I Pro Forma'!$F$49:$Z$49)+SUMIF('Phase II Pro Forma'!$F$6:$Z$6,'Official Summary'!I$7,'Phase II Pro Forma'!$F$49:$Z$49)+SUMIF('Phase III Pro Forma'!$F$6:$Z$6,'Official Summary'!I$7,'Phase III Pro Forma'!$F$49:$Z$49)</f>
        <v>9906162.6587533876</v>
      </c>
      <c r="J9" s="268">
        <f ca="1">+SUMIF('Phase I Pro Forma'!$F$6:$Z$6,'Official Summary'!J$7,'Phase I Pro Forma'!$F$49:$Z$49)+SUMIF('Phase II Pro Forma'!$F$6:$Z$6,'Official Summary'!J$7,'Phase II Pro Forma'!$F$49:$Z$49)+SUMIF('Phase III Pro Forma'!$F$6:$Z$6,'Official Summary'!J$7,'Phase III Pro Forma'!$F$49:$Z$49)</f>
        <v>12851141.071732849</v>
      </c>
      <c r="K9" s="268">
        <f ca="1">+SUMIF('Phase I Pro Forma'!$F$6:$Z$6,'Official Summary'!K$7,'Phase I Pro Forma'!$F$49:$Z$49)+SUMIF('Phase II Pro Forma'!$F$6:$Z$6,'Official Summary'!K$7,'Phase II Pro Forma'!$F$49:$Z$49)+SUMIF('Phase III Pro Forma'!$F$6:$Z$6,'Official Summary'!K$7,'Phase III Pro Forma'!$F$49:$Z$49)</f>
        <v>16535200.589811482</v>
      </c>
      <c r="L9" s="268">
        <f ca="1">+SUMIF('Phase I Pro Forma'!$F$6:$Z$6,'Official Summary'!L$7,'Phase I Pro Forma'!$F$49:$Z$49)+SUMIF('Phase II Pro Forma'!$F$6:$Z$6,'Official Summary'!L$7,'Phase II Pro Forma'!$F$49:$Z$49)+SUMIF('Phase III Pro Forma'!$F$6:$Z$6,'Official Summary'!L$7,'Phase III Pro Forma'!$F$49:$Z$49)</f>
        <v>20494166.399796732</v>
      </c>
      <c r="M9" s="268">
        <f ca="1">+SUMIF('Phase I Pro Forma'!$F$6:$Z$6,'Official Summary'!M$7,'Phase I Pro Forma'!$F$49:$Z$49)+SUMIF('Phase II Pro Forma'!$F$6:$Z$6,'Official Summary'!M$7,'Phase II Pro Forma'!$F$49:$Z$49)+SUMIF('Phase III Pro Forma'!$F$6:$Z$6,'Official Summary'!M$7,'Phase III Pro Forma'!$F$49:$Z$49)</f>
        <v>21247753.481389966</v>
      </c>
      <c r="N9" s="291">
        <f ca="1">+SUMIF('Phase I Pro Forma'!$F$6:$Z$6,'Official Summary'!N$7,'Phase I Pro Forma'!$F$49:$Z$49)+SUMIF('Phase II Pro Forma'!$F$6:$Z$6,'Official Summary'!N$7,'Phase II Pro Forma'!$F$49:$Z$49)+SUMIF('Phase III Pro Forma'!$F$6:$Z$6,'Official Summary'!N$7,'Phase III Pro Forma'!$F$49:$Z$49)</f>
        <v>22009068.894462693</v>
      </c>
    </row>
    <row r="10" spans="2:16" ht="19" customHeight="1" x14ac:dyDescent="0.35">
      <c r="B10" s="294" t="s">
        <v>432</v>
      </c>
      <c r="C10" s="295"/>
      <c r="D10" s="287" t="s">
        <v>497</v>
      </c>
      <c r="E10" s="262" t="s">
        <v>497</v>
      </c>
      <c r="F10" s="283" t="s">
        <v>497</v>
      </c>
      <c r="G10" s="262" t="s">
        <v>497</v>
      </c>
      <c r="H10" s="278" t="s">
        <v>497</v>
      </c>
      <c r="I10" s="262" t="s">
        <v>497</v>
      </c>
      <c r="J10" s="262" t="s">
        <v>497</v>
      </c>
      <c r="K10" s="262" t="s">
        <v>497</v>
      </c>
      <c r="L10" s="262" t="s">
        <v>497</v>
      </c>
      <c r="M10" s="262" t="s">
        <v>497</v>
      </c>
      <c r="N10" s="292" t="s">
        <v>497</v>
      </c>
    </row>
    <row r="11" spans="2:16" ht="19" customHeight="1" x14ac:dyDescent="0.35">
      <c r="B11" s="294" t="s">
        <v>429</v>
      </c>
      <c r="C11" s="295"/>
      <c r="D11" s="287" t="s">
        <v>497</v>
      </c>
      <c r="E11" s="262" t="s">
        <v>497</v>
      </c>
      <c r="F11" s="283" t="s">
        <v>497</v>
      </c>
      <c r="G11" s="262" t="s">
        <v>497</v>
      </c>
      <c r="H11" s="278" t="s">
        <v>497</v>
      </c>
      <c r="I11" s="262" t="s">
        <v>497</v>
      </c>
      <c r="J11" s="262" t="s">
        <v>497</v>
      </c>
      <c r="K11" s="262" t="s">
        <v>497</v>
      </c>
      <c r="L11" s="262" t="s">
        <v>497</v>
      </c>
      <c r="M11" s="262" t="s">
        <v>497</v>
      </c>
      <c r="N11" s="292" t="s">
        <v>497</v>
      </c>
    </row>
    <row r="12" spans="2:16" ht="19" customHeight="1" x14ac:dyDescent="0.35">
      <c r="B12" s="294" t="s">
        <v>430</v>
      </c>
      <c r="C12" s="295"/>
      <c r="D12" s="287">
        <f ca="1">+SUMIF('Phase I Pro Forma'!$F$6:$Z$6,'Official Summary'!D$7,'Phase I Pro Forma'!$F$26:$Z$26)+SUMIF('Phase II Pro Forma'!$F$6:$Z$6,'Official Summary'!D$7,'Phase II Pro Forma'!$F$26:$Z$26)+SUMIF('Phase III Pro Forma'!$F$6:$Z$6,'Official Summary'!D$7,'Phase III Pro Forma'!$F$26:$Z$26)</f>
        <v>0</v>
      </c>
      <c r="E12" s="262">
        <f ca="1">+SUMIF('Phase I Pro Forma'!$F$6:$Z$6,'Official Summary'!E$7,'Phase I Pro Forma'!$F$26:$Z$26)+SUMIF('Phase II Pro Forma'!$F$6:$Z$6,'Official Summary'!E$7,'Phase II Pro Forma'!$F$26:$Z$26)+SUMIF('Phase III Pro Forma'!$F$6:$Z$6,'Official Summary'!E$7,'Phase III Pro Forma'!$F$26:$Z$26)</f>
        <v>0</v>
      </c>
      <c r="F12" s="283">
        <f ca="1">+SUMIF('Phase I Pro Forma'!$F$6:$Z$6,'Official Summary'!F$7,'Phase I Pro Forma'!$F$26:$Z$26)+SUMIF('Phase II Pro Forma'!$F$6:$Z$6,'Official Summary'!F$7,'Phase II Pro Forma'!$F$26:$Z$26)+SUMIF('Phase III Pro Forma'!$F$6:$Z$6,'Official Summary'!F$7,'Phase III Pro Forma'!$F$26:$Z$26)</f>
        <v>0</v>
      </c>
      <c r="G12" s="262">
        <f ca="1">+SUMIF('Phase I Pro Forma'!$F$6:$Z$6,'Official Summary'!G$7,'Phase I Pro Forma'!$F$26:$Z$26)+SUMIF('Phase II Pro Forma'!$F$6:$Z$6,'Official Summary'!G$7,'Phase II Pro Forma'!$F$26:$Z$26)+SUMIF('Phase III Pro Forma'!$F$6:$Z$6,'Official Summary'!G$7,'Phase III Pro Forma'!$F$26:$Z$26)</f>
        <v>213092.90858120978</v>
      </c>
      <c r="H12" s="278">
        <f ca="1">+SUMIF('Phase I Pro Forma'!$F$6:$Z$6,'Official Summary'!H$7,'Phase I Pro Forma'!$F$26:$Z$26)+SUMIF('Phase II Pro Forma'!$F$6:$Z$6,'Official Summary'!H$7,'Phase II Pro Forma'!$F$26:$Z$26)+SUMIF('Phase III Pro Forma'!$F$6:$Z$6,'Official Summary'!H$7,'Phase III Pro Forma'!$F$26:$Z$26)</f>
        <v>425054.96217634692</v>
      </c>
      <c r="I12" s="262">
        <f ca="1">+SUMIF('Phase I Pro Forma'!$F$6:$Z$6,'Official Summary'!I$7,'Phase I Pro Forma'!$F$26:$Z$26)+SUMIF('Phase II Pro Forma'!$F$6:$Z$6,'Official Summary'!I$7,'Phase II Pro Forma'!$F$26:$Z$26)+SUMIF('Phase III Pro Forma'!$F$6:$Z$6,'Official Summary'!I$7,'Phase III Pro Forma'!$F$26:$Z$26)</f>
        <v>537588.21099721466</v>
      </c>
      <c r="J12" s="262">
        <f ca="1">+SUMIF('Phase I Pro Forma'!$F$6:$Z$6,'Official Summary'!J$7,'Phase I Pro Forma'!$F$26:$Z$26)+SUMIF('Phase II Pro Forma'!$F$6:$Z$6,'Official Summary'!J$7,'Phase II Pro Forma'!$F$26:$Z$26)+SUMIF('Phase III Pro Forma'!$F$6:$Z$6,'Official Summary'!J$7,'Phase III Pro Forma'!$F$26:$Z$26)</f>
        <v>647385.97384071618</v>
      </c>
      <c r="K12" s="262">
        <f ca="1">+SUMIF('Phase I Pro Forma'!$F$6:$Z$6,'Official Summary'!K$7,'Phase I Pro Forma'!$F$26:$Z$26)+SUMIF('Phase II Pro Forma'!$F$6:$Z$6,'Official Summary'!K$7,'Phase II Pro Forma'!$F$26:$Z$26)+SUMIF('Phase III Pro Forma'!$F$6:$Z$6,'Official Summary'!K$7,'Phase III Pro Forma'!$F$26:$Z$26)</f>
        <v>791728.48430505954</v>
      </c>
      <c r="L12" s="262">
        <f ca="1">+SUMIF('Phase I Pro Forma'!$F$6:$Z$6,'Official Summary'!L$7,'Phase I Pro Forma'!$F$26:$Z$26)+SUMIF('Phase II Pro Forma'!$F$6:$Z$6,'Official Summary'!L$7,'Phase II Pro Forma'!$F$26:$Z$26)+SUMIF('Phase III Pro Forma'!$F$6:$Z$6,'Official Summary'!L$7,'Phase III Pro Forma'!$F$26:$Z$26)</f>
        <v>932664.06328260375</v>
      </c>
      <c r="M12" s="262">
        <f ca="1">+SUMIF('Phase I Pro Forma'!$F$6:$Z$6,'Official Summary'!M$7,'Phase I Pro Forma'!$F$26:$Z$26)+SUMIF('Phase II Pro Forma'!$F$6:$Z$6,'Official Summary'!M$7,'Phase II Pro Forma'!$F$26:$Z$26)+SUMIF('Phase III Pro Forma'!$F$6:$Z$6,'Official Summary'!M$7,'Phase III Pro Forma'!$F$26:$Z$26)</f>
        <v>925401.51676071179</v>
      </c>
      <c r="N12" s="292">
        <f ca="1">+SUMIF('Phase I Pro Forma'!$F$6:$Z$6,'Official Summary'!N$7,'Phase I Pro Forma'!$F$26:$Z$26)+SUMIF('Phase II Pro Forma'!$F$6:$Z$6,'Official Summary'!N$7,'Phase II Pro Forma'!$F$26:$Z$26)+SUMIF('Phase III Pro Forma'!$F$6:$Z$6,'Official Summary'!N$7,'Phase III Pro Forma'!$F$26:$Z$26)</f>
        <v>918835.4110941597</v>
      </c>
    </row>
    <row r="13" spans="2:16" ht="19" customHeight="1" x14ac:dyDescent="0.35">
      <c r="B13" s="294" t="s">
        <v>431</v>
      </c>
      <c r="C13" s="295"/>
      <c r="D13" s="287" t="s">
        <v>497</v>
      </c>
      <c r="E13" s="262" t="s">
        <v>497</v>
      </c>
      <c r="F13" s="283" t="s">
        <v>497</v>
      </c>
      <c r="G13" s="262" t="s">
        <v>497</v>
      </c>
      <c r="H13" s="278" t="s">
        <v>497</v>
      </c>
      <c r="I13" s="262" t="s">
        <v>497</v>
      </c>
      <c r="J13" s="262" t="s">
        <v>497</v>
      </c>
      <c r="K13" s="262" t="s">
        <v>497</v>
      </c>
      <c r="L13" s="262" t="s">
        <v>497</v>
      </c>
      <c r="M13" s="262" t="s">
        <v>497</v>
      </c>
      <c r="N13" s="292" t="s">
        <v>497</v>
      </c>
    </row>
    <row r="14" spans="2:16" ht="19" customHeight="1" x14ac:dyDescent="0.35">
      <c r="B14" s="784" t="s">
        <v>24</v>
      </c>
      <c r="C14" s="784"/>
      <c r="D14" s="287">
        <f ca="1">+SUMIF('Phase I Pro Forma'!$F$6:$Z$6,'Official Summary'!D$7,'Phase I Pro Forma'!$F$112:$Z$112)+SUMIF('Phase II Pro Forma'!$F$6:$Z$6,'Official Summary'!D$7,'Phase II Pro Forma'!$F$112:$Z$112)+SUMIF('Phase III Pro Forma'!$F$6:$Z$6,'Official Summary'!D$7,'Phase III Pro Forma'!$F$112:$Z$112)</f>
        <v>0</v>
      </c>
      <c r="E14" s="262">
        <f ca="1">+SUMIF('Phase I Pro Forma'!$F$6:$Z$6,'Official Summary'!E$7,'Phase I Pro Forma'!$F$112:$Z$112)+SUMIF('Phase II Pro Forma'!$F$6:$Z$6,'Official Summary'!E$7,'Phase II Pro Forma'!$F$112:$Z$112)+SUMIF('Phase III Pro Forma'!$F$6:$Z$6,'Official Summary'!E$7,'Phase III Pro Forma'!$F$112:$Z$112)</f>
        <v>0</v>
      </c>
      <c r="F14" s="283">
        <f ca="1">+SUMIF('Phase I Pro Forma'!$F$6:$Z$6,'Official Summary'!F$7,'Phase I Pro Forma'!$F$112:$Z$112)+SUMIF('Phase II Pro Forma'!$F$6:$Z$6,'Official Summary'!F$7,'Phase II Pro Forma'!$F$112:$Z$112)+SUMIF('Phase III Pro Forma'!$F$6:$Z$6,'Official Summary'!F$7,'Phase III Pro Forma'!$F$112:$Z$112)</f>
        <v>0</v>
      </c>
      <c r="G14" s="262">
        <f ca="1">+SUMIF('Phase I Pro Forma'!$F$6:$Z$6,'Official Summary'!G$7,'Phase I Pro Forma'!$F$112:$Z$112)+SUMIF('Phase II Pro Forma'!$F$6:$Z$6,'Official Summary'!G$7,'Phase II Pro Forma'!$F$112:$Z$112)+SUMIF('Phase III Pro Forma'!$F$6:$Z$6,'Official Summary'!G$7,'Phase III Pro Forma'!$F$112:$Z$112)</f>
        <v>4114857.9959164495</v>
      </c>
      <c r="H14" s="278">
        <f ca="1">+SUMIF('Phase I Pro Forma'!$F$6:$Z$6,'Official Summary'!H$7,'Phase I Pro Forma'!$F$112:$Z$112)+SUMIF('Phase II Pro Forma'!$F$6:$Z$6,'Official Summary'!H$7,'Phase II Pro Forma'!$F$112:$Z$112)+SUMIF('Phase III Pro Forma'!$F$6:$Z$6,'Official Summary'!H$7,'Phase III Pro Forma'!$F$112:$Z$112)</f>
        <v>8213799.8906974243</v>
      </c>
      <c r="I14" s="262">
        <f ca="1">+SUMIF('Phase I Pro Forma'!$F$6:$Z$6,'Official Summary'!I$7,'Phase I Pro Forma'!$F$112:$Z$112)+SUMIF('Phase II Pro Forma'!$F$6:$Z$6,'Official Summary'!I$7,'Phase II Pro Forma'!$F$112:$Z$112)+SUMIF('Phase III Pro Forma'!$F$6:$Z$6,'Official Summary'!I$7,'Phase III Pro Forma'!$F$112:$Z$112)</f>
        <v>9612151.0241554715</v>
      </c>
      <c r="J14" s="262">
        <f ca="1">+SUMIF('Phase I Pro Forma'!$F$6:$Z$6,'Official Summary'!J$7,'Phase I Pro Forma'!$F$112:$Z$112)+SUMIF('Phase II Pro Forma'!$F$6:$Z$6,'Official Summary'!J$7,'Phase II Pro Forma'!$F$112:$Z$112)+SUMIF('Phase III Pro Forma'!$F$6:$Z$6,'Official Summary'!J$7,'Phase III Pro Forma'!$F$112:$Z$112)</f>
        <v>11890490.297175974</v>
      </c>
      <c r="K14" s="262">
        <f ca="1">+SUMIF('Phase I Pro Forma'!$F$6:$Z$6,'Official Summary'!K$7,'Phase I Pro Forma'!$F$112:$Z$112)+SUMIF('Phase II Pro Forma'!$F$6:$Z$6,'Official Summary'!K$7,'Phase II Pro Forma'!$F$112:$Z$112)+SUMIF('Phase III Pro Forma'!$F$6:$Z$6,'Official Summary'!K$7,'Phase III Pro Forma'!$F$112:$Z$112)</f>
        <v>18295828.945133783</v>
      </c>
      <c r="L14" s="262">
        <f ca="1">+SUMIF('Phase I Pro Forma'!$F$6:$Z$6,'Official Summary'!L$7,'Phase I Pro Forma'!$F$112:$Z$112)+SUMIF('Phase II Pro Forma'!$F$6:$Z$6,'Official Summary'!L$7,'Phase II Pro Forma'!$F$112:$Z$112)+SUMIF('Phase III Pro Forma'!$F$6:$Z$6,'Official Summary'!L$7,'Phase III Pro Forma'!$F$112:$Z$112)</f>
        <v>24986321.626949545</v>
      </c>
      <c r="M14" s="262">
        <f ca="1">+SUMIF('Phase I Pro Forma'!$F$6:$Z$6,'Official Summary'!M$7,'Phase I Pro Forma'!$F$112:$Z$112)+SUMIF('Phase II Pro Forma'!$F$6:$Z$6,'Official Summary'!M$7,'Phase II Pro Forma'!$F$112:$Z$112)+SUMIF('Phase III Pro Forma'!$F$6:$Z$6,'Official Summary'!M$7,'Phase III Pro Forma'!$F$112:$Z$112)</f>
        <v>24952680.273718387</v>
      </c>
      <c r="N14" s="292">
        <f ca="1">+SUMIF('Phase I Pro Forma'!$F$6:$Z$6,'Official Summary'!N$7,'Phase I Pro Forma'!$F$112:$Z$112)+SUMIF('Phase II Pro Forma'!$F$6:$Z$6,'Official Summary'!N$7,'Phase II Pro Forma'!$F$112:$Z$112)+SUMIF('Phase III Pro Forma'!$F$6:$Z$6,'Official Summary'!N$7,'Phase III Pro Forma'!$F$112:$Z$112)</f>
        <v>26291099.582320608</v>
      </c>
      <c r="P14" s="753"/>
    </row>
    <row r="15" spans="2:16" ht="19" customHeight="1" x14ac:dyDescent="0.35">
      <c r="B15" s="784" t="s">
        <v>25</v>
      </c>
      <c r="C15" s="784"/>
      <c r="D15" s="287">
        <f ca="1">+SUMIF('Phase I Pro Forma'!$F$6:$Z$6,'Official Summary'!D$7,'Phase I Pro Forma'!$F$70:$Z$70)+SUMIF('Phase II Pro Forma'!$F$6:$Z$6,'Official Summary'!D$7,'Phase II Pro Forma'!$F$70:$Z$70)+SUMIF('Phase III Pro Forma'!$F$6:$Z$6,'Official Summary'!D$7,'Phase III Pro Forma'!$F$70:$Z$70)</f>
        <v>0</v>
      </c>
      <c r="E15" s="262">
        <f ca="1">+SUMIF('Phase I Pro Forma'!$F$6:$Z$6,'Official Summary'!E$7,'Phase I Pro Forma'!$F$70:$Z$70)+SUMIF('Phase II Pro Forma'!$F$6:$Z$6,'Official Summary'!E$7,'Phase II Pro Forma'!$F$70:$Z$70)+SUMIF('Phase III Pro Forma'!$F$6:$Z$6,'Official Summary'!E$7,'Phase III Pro Forma'!$F$70:$Z$70)</f>
        <v>0</v>
      </c>
      <c r="F15" s="283">
        <f ca="1">+SUMIF('Phase I Pro Forma'!$F$6:$Z$6,'Official Summary'!F$7,'Phase I Pro Forma'!$F$70:$Z$70)+SUMIF('Phase II Pro Forma'!$F$6:$Z$6,'Official Summary'!F$7,'Phase II Pro Forma'!$F$70:$Z$70)+SUMIF('Phase III Pro Forma'!$F$6:$Z$6,'Official Summary'!F$7,'Phase III Pro Forma'!$F$70:$Z$70)</f>
        <v>0</v>
      </c>
      <c r="G15" s="262">
        <f ca="1">+SUMIF('Phase I Pro Forma'!$F$6:$Z$6,'Official Summary'!G$7,'Phase I Pro Forma'!$F$70:$Z$70)+SUMIF('Phase II Pro Forma'!$F$6:$Z$6,'Official Summary'!G$7,'Phase II Pro Forma'!$F$70:$Z$70)+SUMIF('Phase III Pro Forma'!$F$6:$Z$6,'Official Summary'!G$7,'Phase III Pro Forma'!$F$70:$Z$70)</f>
        <v>2014078.7978442148</v>
      </c>
      <c r="H15" s="278">
        <f ca="1">+SUMIF('Phase I Pro Forma'!$F$6:$Z$6,'Official Summary'!H$7,'Phase I Pro Forma'!$F$70:$Z$70)+SUMIF('Phase II Pro Forma'!$F$6:$Z$6,'Official Summary'!H$7,'Phase II Pro Forma'!$F$70:$Z$70)+SUMIF('Phase III Pro Forma'!$F$6:$Z$6,'Official Summary'!H$7,'Phase III Pro Forma'!$F$70:$Z$70)</f>
        <v>4012634.0778745976</v>
      </c>
      <c r="I15" s="262">
        <f ca="1">+SUMIF('Phase I Pro Forma'!$F$6:$Z$6,'Official Summary'!I$7,'Phase I Pro Forma'!$F$70:$Z$70)+SUMIF('Phase II Pro Forma'!$F$6:$Z$6,'Official Summary'!I$7,'Phase II Pro Forma'!$F$70:$Z$70)+SUMIF('Phase III Pro Forma'!$F$6:$Z$6,'Official Summary'!I$7,'Phase III Pro Forma'!$F$70:$Z$70)</f>
        <v>5390618.5163747268</v>
      </c>
      <c r="J15" s="262">
        <f ca="1">+SUMIF('Phase I Pro Forma'!$F$6:$Z$6,'Official Summary'!J$7,'Phase I Pro Forma'!$F$70:$Z$70)+SUMIF('Phase II Pro Forma'!$F$6:$Z$6,'Official Summary'!J$7,'Phase II Pro Forma'!$F$70:$Z$70)+SUMIF('Phase III Pro Forma'!$F$6:$Z$6,'Official Summary'!J$7,'Phase III Pro Forma'!$F$70:$Z$70)</f>
        <v>7227071.0251791347</v>
      </c>
      <c r="K15" s="262">
        <f ca="1">+SUMIF('Phase I Pro Forma'!$F$6:$Z$6,'Official Summary'!K$7,'Phase I Pro Forma'!$F$70:$Z$70)+SUMIF('Phase II Pro Forma'!$F$6:$Z$6,'Official Summary'!K$7,'Phase II Pro Forma'!$F$70:$Z$70)+SUMIF('Phase III Pro Forma'!$F$6:$Z$6,'Official Summary'!K$7,'Phase III Pro Forma'!$F$70:$Z$70)</f>
        <v>7944970.1354817012</v>
      </c>
      <c r="L15" s="262">
        <f ca="1">+SUMIF('Phase I Pro Forma'!$F$6:$Z$6,'Official Summary'!L$7,'Phase I Pro Forma'!$F$70:$Z$70)+SUMIF('Phase II Pro Forma'!$F$6:$Z$6,'Official Summary'!L$7,'Phase II Pro Forma'!$F$70:$Z$70)+SUMIF('Phase III Pro Forma'!$F$6:$Z$6,'Official Summary'!L$7,'Phase III Pro Forma'!$F$70:$Z$70)</f>
        <v>8964083.3012791332</v>
      </c>
      <c r="M15" s="262">
        <f ca="1">+SUMIF('Phase I Pro Forma'!$F$6:$Z$6,'Official Summary'!M$7,'Phase I Pro Forma'!$F$70:$Z$70)+SUMIF('Phase II Pro Forma'!$F$6:$Z$6,'Official Summary'!M$7,'Phase II Pro Forma'!$F$70:$Z$70)+SUMIF('Phase III Pro Forma'!$F$6:$Z$6,'Official Summary'!M$7,'Phase III Pro Forma'!$F$70:$Z$70)</f>
        <v>8945259.9743079767</v>
      </c>
      <c r="N15" s="292">
        <f ca="1">+SUMIF('Phase I Pro Forma'!$F$6:$Z$6,'Official Summary'!N$7,'Phase I Pro Forma'!$F$70:$Z$70)+SUMIF('Phase II Pro Forma'!$F$6:$Z$6,'Official Summary'!N$7,'Phase II Pro Forma'!$F$70:$Z$70)+SUMIF('Phase III Pro Forma'!$F$6:$Z$6,'Official Summary'!N$7,'Phase III Pro Forma'!$F$70:$Z$70)</f>
        <v>9079974.8315244336</v>
      </c>
    </row>
    <row r="16" spans="2:16" ht="19" customHeight="1" x14ac:dyDescent="0.35">
      <c r="B16" s="295" t="s">
        <v>147</v>
      </c>
      <c r="C16" s="296"/>
      <c r="D16" s="287">
        <f ca="1">+SUMIF('Phase I Pro Forma'!$F$6:$Z$6,'Official Summary'!D$7,'Phase I Pro Forma'!$F$91:$Z$91)+SUMIF('Phase II Pro Forma'!$F$6:$Z$6,'Official Summary'!D$7,'Phase II Pro Forma'!$F$91:$Z$91)+SUMIF('Phase III Pro Forma'!$F$6:$Z$6,'Official Summary'!D$7,'Phase III Pro Forma'!$F$91:$Z$91)</f>
        <v>0</v>
      </c>
      <c r="E16" s="262">
        <f ca="1">+SUMIF('Phase I Pro Forma'!$F$6:$Z$6,'Official Summary'!E$7,'Phase I Pro Forma'!$F$91:$Z$91)+SUMIF('Phase II Pro Forma'!$F$6:$Z$6,'Official Summary'!E$7,'Phase II Pro Forma'!$F$91:$Z$91)+SUMIF('Phase III Pro Forma'!$F$6:$Z$6,'Official Summary'!E$7,'Phase III Pro Forma'!$F$91:$Z$91)</f>
        <v>0</v>
      </c>
      <c r="F16" s="283">
        <f ca="1">+SUMIF('Phase I Pro Forma'!$F$6:$Z$6,'Official Summary'!F$7,'Phase I Pro Forma'!$F$91:$Z$91)+SUMIF('Phase II Pro Forma'!$F$6:$Z$6,'Official Summary'!F$7,'Phase II Pro Forma'!$F$91:$Z$91)+SUMIF('Phase III Pro Forma'!$F$6:$Z$6,'Official Summary'!F$7,'Phase III Pro Forma'!$F$91:$Z$91)</f>
        <v>0</v>
      </c>
      <c r="G16" s="262">
        <f ca="1">+SUMIF('Phase I Pro Forma'!$F$6:$Z$6,'Official Summary'!G$7,'Phase I Pro Forma'!$F$91:$Z$91)+SUMIF('Phase II Pro Forma'!$F$6:$Z$6,'Official Summary'!G$7,'Phase II Pro Forma'!$F$91:$Z$91)+SUMIF('Phase III Pro Forma'!$F$6:$Z$6,'Official Summary'!G$7,'Phase III Pro Forma'!$F$91:$Z$91)</f>
        <v>90843.75</v>
      </c>
      <c r="H16" s="278">
        <f ca="1">+SUMIF('Phase I Pro Forma'!$F$6:$Z$6,'Official Summary'!H$7,'Phase I Pro Forma'!$F$91:$Z$91)+SUMIF('Phase II Pro Forma'!$F$6:$Z$6,'Official Summary'!H$7,'Phase II Pro Forma'!$F$91:$Z$91)+SUMIF('Phase III Pro Forma'!$F$6:$Z$6,'Official Summary'!H$7,'Phase III Pro Forma'!$F$91:$Z$91)</f>
        <v>181687.5</v>
      </c>
      <c r="I16" s="262">
        <f ca="1">+SUMIF('Phase I Pro Forma'!$F$6:$Z$6,'Official Summary'!I$7,'Phase I Pro Forma'!$F$91:$Z$91)+SUMIF('Phase II Pro Forma'!$F$6:$Z$6,'Official Summary'!I$7,'Phase II Pro Forma'!$F$91:$Z$91)+SUMIF('Phase III Pro Forma'!$F$6:$Z$6,'Official Summary'!I$7,'Phase III Pro Forma'!$F$91:$Z$91)</f>
        <v>181687.5</v>
      </c>
      <c r="J16" s="262">
        <f ca="1">+SUMIF('Phase I Pro Forma'!$F$6:$Z$6,'Official Summary'!J$7,'Phase I Pro Forma'!$F$91:$Z$91)+SUMIF('Phase II Pro Forma'!$F$6:$Z$6,'Official Summary'!J$7,'Phase II Pro Forma'!$F$91:$Z$91)+SUMIF('Phase III Pro Forma'!$F$6:$Z$6,'Official Summary'!J$7,'Phase III Pro Forma'!$F$91:$Z$91)</f>
        <v>190771.875</v>
      </c>
      <c r="K16" s="262">
        <f ca="1">+SUMIF('Phase I Pro Forma'!$F$6:$Z$6,'Official Summary'!K$7,'Phase I Pro Forma'!$F$91:$Z$91)+SUMIF('Phase II Pro Forma'!$F$6:$Z$6,'Official Summary'!K$7,'Phase II Pro Forma'!$F$91:$Z$91)+SUMIF('Phase III Pro Forma'!$F$6:$Z$6,'Official Summary'!K$7,'Phase III Pro Forma'!$F$91:$Z$91)</f>
        <v>562269.375</v>
      </c>
      <c r="L16" s="262">
        <f ca="1">+SUMIF('Phase I Pro Forma'!$F$6:$Z$6,'Official Summary'!L$7,'Phase I Pro Forma'!$F$91:$Z$91)+SUMIF('Phase II Pro Forma'!$F$6:$Z$6,'Official Summary'!L$7,'Phase II Pro Forma'!$F$91:$Z$91)+SUMIF('Phase III Pro Forma'!$F$6:$Z$6,'Official Summary'!L$7,'Phase III Pro Forma'!$F$91:$Z$91)</f>
        <v>933766.87499999977</v>
      </c>
      <c r="M16" s="262">
        <f ca="1">+SUMIF('Phase I Pro Forma'!$F$6:$Z$6,'Official Summary'!M$7,'Phase I Pro Forma'!$F$91:$Z$91)+SUMIF('Phase II Pro Forma'!$F$6:$Z$6,'Official Summary'!M$7,'Phase II Pro Forma'!$F$91:$Z$91)+SUMIF('Phase III Pro Forma'!$F$6:$Z$6,'Official Summary'!M$7,'Phase III Pro Forma'!$F$91:$Z$91)</f>
        <v>933766.87499999965</v>
      </c>
      <c r="N16" s="292">
        <f ca="1">+SUMIF('Phase I Pro Forma'!$F$6:$Z$6,'Official Summary'!N$7,'Phase I Pro Forma'!$F$91:$Z$91)+SUMIF('Phase II Pro Forma'!$F$6:$Z$6,'Official Summary'!N$7,'Phase II Pro Forma'!$F$91:$Z$91)+SUMIF('Phase III Pro Forma'!$F$6:$Z$6,'Official Summary'!N$7,'Phase III Pro Forma'!$F$91:$Z$91)</f>
        <v>970916.62499999977</v>
      </c>
    </row>
    <row r="17" spans="2:14" ht="19" customHeight="1" x14ac:dyDescent="0.35">
      <c r="B17" s="295" t="s">
        <v>26</v>
      </c>
      <c r="C17" s="295"/>
      <c r="D17" s="287">
        <f ca="1">+SUMIF('Phase I Pro Forma'!$F$6:$Z$6,'Official Summary'!D$7,'Phase I Pro Forma'!$F$206:$Z$206)+SUMIF('Phase II Pro Forma'!$F$6:$Z$6,'Official Summary'!D$7,'Phase II Pro Forma'!$F$206:$Z$206)+SUMIF('Phase III Pro Forma'!$F$6:$Z$6,'Official Summary'!D$7,'Phase III Pro Forma'!$F$206:$Z$206)</f>
        <v>0</v>
      </c>
      <c r="E17" s="262">
        <f ca="1">+SUMIF('Phase I Pro Forma'!$F$6:$Z$6,'Official Summary'!E$7,'Phase I Pro Forma'!$F$206:$Z$206)+SUMIF('Phase II Pro Forma'!$F$6:$Z$6,'Official Summary'!E$7,'Phase II Pro Forma'!$F$206:$Z$206)+SUMIF('Phase III Pro Forma'!$F$6:$Z$6,'Official Summary'!E$7,'Phase III Pro Forma'!$F$206:$Z$206)</f>
        <v>0</v>
      </c>
      <c r="F17" s="283">
        <f ca="1">+SUMIF('Phase I Pro Forma'!$F$6:$Z$6,'Official Summary'!F$7,'Phase I Pro Forma'!$F$206:$Z$206)+SUMIF('Phase II Pro Forma'!$F$6:$Z$6,'Official Summary'!F$7,'Phase II Pro Forma'!$F$206:$Z$206)+SUMIF('Phase III Pro Forma'!$F$6:$Z$6,'Official Summary'!F$7,'Phase III Pro Forma'!$F$206:$Z$206)</f>
        <v>0</v>
      </c>
      <c r="G17" s="262">
        <f ca="1">+SUMIF('Phase I Pro Forma'!$F$6:$Z$6,'Official Summary'!G$7,'Phase I Pro Forma'!$F$206:$Z$206)+SUMIF('Phase II Pro Forma'!$F$6:$Z$6,'Official Summary'!G$7,'Phase II Pro Forma'!$F$206:$Z$206)+SUMIF('Phase III Pro Forma'!$F$6:$Z$6,'Official Summary'!G$7,'Phase III Pro Forma'!$F$206:$Z$206)</f>
        <v>2177551.5664158845</v>
      </c>
      <c r="H17" s="278">
        <f ca="1">+SUMIF('Phase I Pro Forma'!$F$6:$Z$6,'Official Summary'!H$7,'Phase I Pro Forma'!$F$206:$Z$206)+SUMIF('Phase II Pro Forma'!$F$6:$Z$6,'Official Summary'!H$7,'Phase II Pro Forma'!$F$206:$Z$206)+SUMIF('Phase III Pro Forma'!$F$6:$Z$6,'Official Summary'!H$7,'Phase III Pro Forma'!$F$206:$Z$206)</f>
        <v>5149708.49248611</v>
      </c>
      <c r="I17" s="262">
        <f ca="1">+SUMIF('Phase I Pro Forma'!$F$6:$Z$6,'Official Summary'!I$7,'Phase I Pro Forma'!$F$206:$Z$206)+SUMIF('Phase II Pro Forma'!$F$6:$Z$6,'Official Summary'!I$7,'Phase II Pro Forma'!$F$206:$Z$206)+SUMIF('Phase III Pro Forma'!$F$6:$Z$6,'Official Summary'!I$7,'Phase III Pro Forma'!$F$206:$Z$206)</f>
        <v>6924381.5483684316</v>
      </c>
      <c r="J17" s="262">
        <f ca="1">+SUMIF('Phase I Pro Forma'!$F$6:$Z$6,'Official Summary'!J$7,'Phase I Pro Forma'!$F$206:$Z$206)+SUMIF('Phase II Pro Forma'!$F$6:$Z$6,'Official Summary'!J$7,'Phase II Pro Forma'!$F$206:$Z$206)+SUMIF('Phase III Pro Forma'!$F$6:$Z$6,'Official Summary'!J$7,'Phase III Pro Forma'!$F$206:$Z$206)</f>
        <v>8936846.1518524699</v>
      </c>
      <c r="K17" s="262">
        <f ca="1">+SUMIF('Phase I Pro Forma'!$F$6:$Z$6,'Official Summary'!K$7,'Phase I Pro Forma'!$F$206:$Z$206)+SUMIF('Phase II Pro Forma'!$F$6:$Z$6,'Official Summary'!K$7,'Phase II Pro Forma'!$F$206:$Z$206)+SUMIF('Phase III Pro Forma'!$F$6:$Z$6,'Official Summary'!K$7,'Phase III Pro Forma'!$F$206:$Z$206)</f>
        <v>9496549.3069507759</v>
      </c>
      <c r="L17" s="262">
        <f ca="1">+SUMIF('Phase I Pro Forma'!$F$6:$Z$6,'Official Summary'!L$7,'Phase I Pro Forma'!$F$206:$Z$206)+SUMIF('Phase II Pro Forma'!$F$6:$Z$6,'Official Summary'!L$7,'Phase II Pro Forma'!$F$206:$Z$206)+SUMIF('Phase III Pro Forma'!$F$6:$Z$6,'Official Summary'!L$7,'Phase III Pro Forma'!$F$206:$Z$206)</f>
        <v>10041436.519591454</v>
      </c>
      <c r="M17" s="262">
        <f ca="1">+SUMIF('Phase I Pro Forma'!$F$6:$Z$6,'Official Summary'!M$7,'Phase I Pro Forma'!$F$206:$Z$206)+SUMIF('Phase II Pro Forma'!$F$6:$Z$6,'Official Summary'!M$7,'Phase II Pro Forma'!$F$206:$Z$206)+SUMIF('Phase III Pro Forma'!$F$6:$Z$6,'Official Summary'!M$7,'Phase III Pro Forma'!$F$206:$Z$206)</f>
        <v>10309038.813330183</v>
      </c>
      <c r="N17" s="292">
        <f ca="1">+SUMIF('Phase I Pro Forma'!$F$6:$Z$6,'Official Summary'!N$7,'Phase I Pro Forma'!$F$206:$Z$206)+SUMIF('Phase II Pro Forma'!$F$6:$Z$6,'Official Summary'!N$7,'Phase II Pro Forma'!$F$206:$Z$206)+SUMIF('Phase III Pro Forma'!$F$6:$Z$6,'Official Summary'!N$7,'Phase III Pro Forma'!$F$206:$Z$206)</f>
        <v>10544663.793398518</v>
      </c>
    </row>
    <row r="18" spans="2:14" ht="19" customHeight="1" x14ac:dyDescent="0.35">
      <c r="B18" s="295" t="s">
        <v>505</v>
      </c>
      <c r="C18" s="295"/>
      <c r="D18" s="287">
        <f ca="1">+SUMIF('Phase I Pro Forma'!$F$6:$Z$6,'Official Summary'!D$7,'Phase I Pro Forma'!$F$134:$Z$134)+SUMIF('Phase II Pro Forma'!$F$6:$Z$6,'Official Summary'!D$7,'Phase II Pro Forma'!$F$134:$Z$134)+SUMIF('Phase III Pro Forma'!$F$6:$Z$6,'Official Summary'!D$7,'Phase III Pro Forma'!$F$134:$Z$134)</f>
        <v>0</v>
      </c>
      <c r="E18" s="262">
        <f ca="1">+SUMIF('Phase I Pro Forma'!$F$6:$Z$6,'Official Summary'!E$7,'Phase I Pro Forma'!$F$134:$Z$134)+SUMIF('Phase II Pro Forma'!$F$6:$Z$6,'Official Summary'!E$7,'Phase II Pro Forma'!$F$134:$Z$134)+SUMIF('Phase III Pro Forma'!$F$6:$Z$6,'Official Summary'!E$7,'Phase III Pro Forma'!$F$134:$Z$134)</f>
        <v>0</v>
      </c>
      <c r="F18" s="283">
        <f ca="1">+SUMIF('Phase I Pro Forma'!$F$6:$Z$6,'Official Summary'!F$7,'Phase I Pro Forma'!$F$134:$Z$134)+SUMIF('Phase II Pro Forma'!$F$6:$Z$6,'Official Summary'!F$7,'Phase II Pro Forma'!$F$134:$Z$134)+SUMIF('Phase III Pro Forma'!$F$6:$Z$6,'Official Summary'!F$7,'Phase III Pro Forma'!$F$134:$Z$134)</f>
        <v>0</v>
      </c>
      <c r="G18" s="262">
        <f ca="1">+SUMIF('Phase I Pro Forma'!$F$6:$Z$6,'Official Summary'!G$7,'Phase I Pro Forma'!$F$134:$Z$134)+SUMIF('Phase II Pro Forma'!$F$6:$Z$6,'Official Summary'!G$7,'Phase II Pro Forma'!$F$134:$Z$134)+SUMIF('Phase III Pro Forma'!$F$6:$Z$6,'Official Summary'!G$7,'Phase III Pro Forma'!$F$134:$Z$134)</f>
        <v>92064.429826056788</v>
      </c>
      <c r="H18" s="278">
        <f ca="1">+SUMIF('Phase I Pro Forma'!$F$6:$Z$6,'Official Summary'!H$7,'Phase I Pro Forma'!$F$134:$Z$134)+SUMIF('Phase II Pro Forma'!$F$6:$Z$6,'Official Summary'!H$7,'Phase II Pro Forma'!$F$134:$Z$134)+SUMIF('Phase III Pro Forma'!$F$6:$Z$6,'Official Summary'!H$7,'Phase III Pro Forma'!$F$134:$Z$134)</f>
        <v>186437.24986030741</v>
      </c>
      <c r="I18" s="262">
        <f ca="1">+SUMIF('Phase I Pro Forma'!$F$6:$Z$6,'Official Summary'!I$7,'Phase I Pro Forma'!$F$134:$Z$134)+SUMIF('Phase II Pro Forma'!$F$6:$Z$6,'Official Summary'!I$7,'Phase II Pro Forma'!$F$134:$Z$134)+SUMIF('Phase III Pro Forma'!$F$6:$Z$6,'Official Summary'!I$7,'Phase III Pro Forma'!$F$134:$Z$134)</f>
        <v>312456.10701729392</v>
      </c>
      <c r="J18" s="262">
        <f ca="1">+SUMIF('Phase I Pro Forma'!$F$6:$Z$6,'Official Summary'!J$7,'Phase I Pro Forma'!$F$134:$Z$134)+SUMIF('Phase II Pro Forma'!$F$6:$Z$6,'Official Summary'!J$7,'Phase II Pro Forma'!$F$134:$Z$134)+SUMIF('Phase III Pro Forma'!$F$6:$Z$6,'Official Summary'!J$7,'Phase III Pro Forma'!$F$134:$Z$134)</f>
        <v>441573.51853933686</v>
      </c>
      <c r="K18" s="262">
        <f ca="1">+SUMIF('Phase I Pro Forma'!$F$6:$Z$6,'Official Summary'!K$7,'Phase I Pro Forma'!$F$134:$Z$134)+SUMIF('Phase II Pro Forma'!$F$6:$Z$6,'Official Summary'!K$7,'Phase II Pro Forma'!$F$134:$Z$134)+SUMIF('Phase III Pro Forma'!$F$6:$Z$6,'Official Summary'!K$7,'Phase III Pro Forma'!$F$134:$Z$134)</f>
        <v>695228.80001124367</v>
      </c>
      <c r="L18" s="262">
        <f ca="1">+SUMIF('Phase I Pro Forma'!$F$6:$Z$6,'Official Summary'!L$7,'Phase I Pro Forma'!$F$134:$Z$134)+SUMIF('Phase II Pro Forma'!$F$6:$Z$6,'Official Summary'!L$7,'Phase II Pro Forma'!$F$134:$Z$134)+SUMIF('Phase III Pro Forma'!$F$6:$Z$6,'Official Summary'!L$7,'Phase III Pro Forma'!$F$134:$Z$134)</f>
        <v>956641.54926883779</v>
      </c>
      <c r="M18" s="262">
        <f ca="1">+SUMIF('Phase I Pro Forma'!$F$6:$Z$6,'Official Summary'!M$7,'Phase I Pro Forma'!$F$134:$Z$134)+SUMIF('Phase II Pro Forma'!$F$6:$Z$6,'Official Summary'!M$7,'Phase II Pro Forma'!$F$134:$Z$134)+SUMIF('Phase III Pro Forma'!$F$6:$Z$6,'Official Summary'!M$7,'Phase III Pro Forma'!$F$134:$Z$134)</f>
        <v>973146.58950647153</v>
      </c>
      <c r="N18" s="292">
        <f ca="1">+SUMIF('Phase I Pro Forma'!$F$6:$Z$6,'Official Summary'!N$7,'Phase I Pro Forma'!$F$134:$Z$134)+SUMIF('Phase II Pro Forma'!$F$6:$Z$6,'Official Summary'!N$7,'Phase II Pro Forma'!$F$134:$Z$134)+SUMIF('Phase III Pro Forma'!$F$6:$Z$6,'Official Summary'!N$7,'Phase III Pro Forma'!$F$134:$Z$134)</f>
        <v>990226.84670526022</v>
      </c>
    </row>
    <row r="19" spans="2:14" ht="19" customHeight="1" x14ac:dyDescent="0.35">
      <c r="B19" s="295" t="s">
        <v>48</v>
      </c>
      <c r="C19" s="295"/>
      <c r="D19" s="287" t="s">
        <v>497</v>
      </c>
      <c r="E19" s="262" t="s">
        <v>497</v>
      </c>
      <c r="F19" s="283" t="s">
        <v>497</v>
      </c>
      <c r="G19" s="262" t="s">
        <v>497</v>
      </c>
      <c r="H19" s="278" t="s">
        <v>497</v>
      </c>
      <c r="I19" s="262" t="s">
        <v>497</v>
      </c>
      <c r="J19" s="262" t="s">
        <v>497</v>
      </c>
      <c r="K19" s="262" t="s">
        <v>497</v>
      </c>
      <c r="L19" s="262" t="s">
        <v>497</v>
      </c>
      <c r="M19" s="262" t="s">
        <v>497</v>
      </c>
      <c r="N19" s="292" t="s">
        <v>497</v>
      </c>
    </row>
    <row r="20" spans="2:14" ht="19" customHeight="1" x14ac:dyDescent="0.35">
      <c r="B20" s="295" t="s">
        <v>238</v>
      </c>
      <c r="C20" s="296"/>
      <c r="D20" s="287">
        <f ca="1">+SUMIF('Phase I Pro Forma'!$F$6:$Z$6,'Official Summary'!D$7,'Phase I Pro Forma'!$F$251:$Z$251)+SUMIF('Phase II Pro Forma'!$F$6:$Z$6,'Official Summary'!D$7,'Phase II Pro Forma'!$F$251:$Z$251)+SUMIF('Phase III Pro Forma'!$F$6:$Z$6,'Official Summary'!D$7,'Phase III Pro Forma'!$F$251:$Z$251)</f>
        <v>0</v>
      </c>
      <c r="E20" s="262">
        <f ca="1">+SUMIF('Phase I Pro Forma'!$F$6:$Z$6,'Official Summary'!E$7,'Phase I Pro Forma'!$F$251:$Z$251)+SUMIF('Phase II Pro Forma'!$F$6:$Z$6,'Official Summary'!E$7,'Phase II Pro Forma'!$F$251:$Z$251)+SUMIF('Phase III Pro Forma'!$F$6:$Z$6,'Official Summary'!E$7,'Phase III Pro Forma'!$F$251:$Z$251)</f>
        <v>0</v>
      </c>
      <c r="F20" s="283">
        <f ca="1">+SUMIF('Phase I Pro Forma'!$F$6:$Z$6,'Official Summary'!F$7,'Phase I Pro Forma'!$F$251:$Z$251)+SUMIF('Phase II Pro Forma'!$F$6:$Z$6,'Official Summary'!F$7,'Phase II Pro Forma'!$F$251:$Z$251)+SUMIF('Phase III Pro Forma'!$F$6:$Z$6,'Official Summary'!F$7,'Phase III Pro Forma'!$F$251:$Z$251)</f>
        <v>0</v>
      </c>
      <c r="G20" s="262">
        <f ca="1">+SUMIF('Phase I Pro Forma'!$F$6:$Z$6,'Official Summary'!G$7,'Phase I Pro Forma'!$F$251:$Z$251)+SUMIF('Phase II Pro Forma'!$F$6:$Z$6,'Official Summary'!G$7,'Phase II Pro Forma'!$F$251:$Z$251)+SUMIF('Phase III Pro Forma'!$F$6:$Z$6,'Official Summary'!G$7,'Phase III Pro Forma'!$F$251:$Z$251)</f>
        <v>5.6399999999999994E-6</v>
      </c>
      <c r="H20" s="278">
        <f ca="1">+SUMIF('Phase I Pro Forma'!$F$6:$Z$6,'Official Summary'!H$7,'Phase I Pro Forma'!$F$251:$Z$251)+SUMIF('Phase II Pro Forma'!$F$6:$Z$6,'Official Summary'!H$7,'Phase II Pro Forma'!$F$251:$Z$251)+SUMIF('Phase III Pro Forma'!$F$6:$Z$6,'Official Summary'!H$7,'Phase III Pro Forma'!$F$251:$Z$251)</f>
        <v>1.128E-5</v>
      </c>
      <c r="I20" s="262">
        <f ca="1">+SUMIF('Phase I Pro Forma'!$F$6:$Z$6,'Official Summary'!I$7,'Phase I Pro Forma'!$F$251:$Z$251)+SUMIF('Phase II Pro Forma'!$F$6:$Z$6,'Official Summary'!I$7,'Phase II Pro Forma'!$F$251:$Z$251)+SUMIF('Phase III Pro Forma'!$F$6:$Z$6,'Official Summary'!I$7,'Phase III Pro Forma'!$F$251:$Z$251)</f>
        <v>1.7147855999999999E-5</v>
      </c>
      <c r="J20" s="262">
        <f ca="1">+SUMIF('Phase I Pro Forma'!$F$6:$Z$6,'Official Summary'!J$7,'Phase I Pro Forma'!$F$251:$Z$251)+SUMIF('Phase II Pro Forma'!$F$6:$Z$6,'Official Summary'!J$7,'Phase II Pro Forma'!$F$251:$Z$251)+SUMIF('Phase III Pro Forma'!$F$6:$Z$6,'Official Summary'!J$7,'Phase III Pro Forma'!$F$251:$Z$251)</f>
        <v>2.4143712E-5</v>
      </c>
      <c r="K20" s="262">
        <f ca="1">+SUMIF('Phase I Pro Forma'!$F$6:$Z$6,'Official Summary'!K$7,'Phase I Pro Forma'!$F$251:$Z$251)+SUMIF('Phase II Pro Forma'!$F$6:$Z$6,'Official Summary'!K$7,'Phase II Pro Forma'!$F$251:$Z$251)+SUMIF('Phase III Pro Forma'!$F$6:$Z$6,'Official Summary'!K$7,'Phase III Pro Forma'!$F$251:$Z$251)</f>
        <v>1432396.7654566558</v>
      </c>
      <c r="L20" s="262">
        <f ca="1">+SUMIF('Phase I Pro Forma'!$F$6:$Z$6,'Official Summary'!L$7,'Phase I Pro Forma'!$F$251:$Z$251)+SUMIF('Phase II Pro Forma'!$F$6:$Z$6,'Official Summary'!L$7,'Phase II Pro Forma'!$F$251:$Z$251)+SUMIF('Phase III Pro Forma'!$F$6:$Z$6,'Official Summary'!L$7,'Phase III Pro Forma'!$F$251:$Z$251)</f>
        <v>2864793.5308903418</v>
      </c>
      <c r="M20" s="262">
        <f ca="1">+SUMIF('Phase I Pro Forma'!$F$6:$Z$6,'Official Summary'!M$7,'Phase I Pro Forma'!$F$251:$Z$251)+SUMIF('Phase II Pro Forma'!$F$6:$Z$6,'Official Summary'!M$7,'Phase II Pro Forma'!$F$251:$Z$251)+SUMIF('Phase III Pro Forma'!$F$6:$Z$6,'Official Summary'!M$7,'Phase III Pro Forma'!$F$251:$Z$251)</f>
        <v>2864793.5308903418</v>
      </c>
      <c r="N20" s="292">
        <f ca="1">+SUMIF('Phase I Pro Forma'!$F$6:$Z$6,'Official Summary'!N$7,'Phase I Pro Forma'!$F$251:$Z$251)+SUMIF('Phase II Pro Forma'!$F$6:$Z$6,'Official Summary'!N$7,'Phase II Pro Forma'!$F$251:$Z$251)+SUMIF('Phase III Pro Forma'!$F$6:$Z$6,'Official Summary'!N$7,'Phase III Pro Forma'!$F$251:$Z$251)</f>
        <v>3151272.8839768441</v>
      </c>
    </row>
    <row r="21" spans="2:14" ht="19" customHeight="1" x14ac:dyDescent="0.35">
      <c r="B21" s="271" t="s">
        <v>506</v>
      </c>
      <c r="C21" s="296"/>
      <c r="D21" s="287" t="s">
        <v>497</v>
      </c>
      <c r="E21" s="262" t="s">
        <v>497</v>
      </c>
      <c r="F21" s="283" t="s">
        <v>497</v>
      </c>
      <c r="G21" s="262" t="s">
        <v>497</v>
      </c>
      <c r="H21" s="278" t="s">
        <v>497</v>
      </c>
      <c r="I21" s="262" t="s">
        <v>497</v>
      </c>
      <c r="J21" s="262" t="s">
        <v>497</v>
      </c>
      <c r="K21" s="262" t="s">
        <v>497</v>
      </c>
      <c r="L21" s="262" t="s">
        <v>497</v>
      </c>
      <c r="M21" s="262" t="s">
        <v>497</v>
      </c>
      <c r="N21" s="292" t="s">
        <v>497</v>
      </c>
    </row>
    <row r="22" spans="2:14" ht="19" customHeight="1" x14ac:dyDescent="0.35">
      <c r="B22" s="271" t="s">
        <v>51</v>
      </c>
      <c r="C22" s="295"/>
      <c r="D22" s="287" t="s">
        <v>497</v>
      </c>
      <c r="E22" s="262" t="s">
        <v>497</v>
      </c>
      <c r="F22" s="283" t="s">
        <v>497</v>
      </c>
      <c r="G22" s="262" t="s">
        <v>497</v>
      </c>
      <c r="H22" s="278" t="s">
        <v>497</v>
      </c>
      <c r="I22" s="262" t="s">
        <v>497</v>
      </c>
      <c r="J22" s="262" t="s">
        <v>497</v>
      </c>
      <c r="K22" s="262" t="s">
        <v>497</v>
      </c>
      <c r="L22" s="262" t="s">
        <v>497</v>
      </c>
      <c r="M22" s="262" t="s">
        <v>497</v>
      </c>
      <c r="N22" s="292" t="s">
        <v>497</v>
      </c>
    </row>
    <row r="23" spans="2:14" ht="19" customHeight="1" x14ac:dyDescent="0.35">
      <c r="B23" s="271" t="s">
        <v>52</v>
      </c>
      <c r="C23" s="296"/>
      <c r="D23" s="287">
        <f ca="1">-SUMIF('Phase I Pro Forma'!$F$6:$Z$6,'Official Summary'!D$7,'Phase I Pro Forma'!$F$291:$Z$291)-SUMIF('Phase II Pro Forma'!$F$6:$Z$6,'Official Summary'!D$7,'Phase II Pro Forma'!$F$291:$Z$291)-SUMIF('Phase III Pro Forma'!$F$6:$Z$6,'Official Summary'!D$7,'Phase III Pro Forma'!$F$291:$Z$291)</f>
        <v>0</v>
      </c>
      <c r="E23" s="262">
        <f ca="1">-SUMIF('Phase I Pro Forma'!$F$6:$Z$6,'Official Summary'!E$7,'Phase I Pro Forma'!$F$291:$Z$291)-SUMIF('Phase II Pro Forma'!$F$6:$Z$6,'Official Summary'!E$7,'Phase II Pro Forma'!$F$291:$Z$291)-SUMIF('Phase III Pro Forma'!$F$6:$Z$6,'Official Summary'!E$7,'Phase III Pro Forma'!$F$291:$Z$291)</f>
        <v>-2859790.3477560584</v>
      </c>
      <c r="F23" s="283">
        <f ca="1">-SUMIF('Phase I Pro Forma'!$F$6:$Z$6,'Official Summary'!F$7,'Phase I Pro Forma'!$F$291:$Z$291)-SUMIF('Phase II Pro Forma'!$F$6:$Z$6,'Official Summary'!F$7,'Phase II Pro Forma'!$F$291:$Z$291)-SUMIF('Phase III Pro Forma'!$F$6:$Z$6,'Official Summary'!F$7,'Phase III Pro Forma'!$F$291:$Z$291)</f>
        <v>-2859790.3477560584</v>
      </c>
      <c r="G23" s="262">
        <f ca="1">-SUMIF('Phase I Pro Forma'!$F$6:$Z$6,'Official Summary'!G$7,'Phase I Pro Forma'!$F$291:$Z$291)-SUMIF('Phase II Pro Forma'!$F$6:$Z$6,'Official Summary'!G$7,'Phase II Pro Forma'!$F$291:$Z$291)-SUMIF('Phase III Pro Forma'!$F$6:$Z$6,'Official Summary'!G$7,'Phase III Pro Forma'!$F$291:$Z$291)</f>
        <v>-4468462.7085562535</v>
      </c>
      <c r="H23" s="278">
        <f ca="1">-SUMIF('Phase I Pro Forma'!$F$6:$Z$6,'Official Summary'!H$7,'Phase I Pro Forma'!$F$291:$Z$291)-SUMIF('Phase II Pro Forma'!$F$6:$Z$6,'Official Summary'!H$7,'Phase II Pro Forma'!$F$291:$Z$291)-SUMIF('Phase III Pro Forma'!$F$6:$Z$6,'Official Summary'!H$7,'Phase III Pro Forma'!$F$291:$Z$291)</f>
        <v>-4468462.7085562535</v>
      </c>
      <c r="I23" s="262">
        <f ca="1">-SUMIF('Phase I Pro Forma'!$F$6:$Z$6,'Official Summary'!I$7,'Phase I Pro Forma'!$F$291:$Z$291)-SUMIF('Phase II Pro Forma'!$F$6:$Z$6,'Official Summary'!I$7,'Phase II Pro Forma'!$F$291:$Z$291)-SUMIF('Phase III Pro Forma'!$F$6:$Z$6,'Official Summary'!I$7,'Phase III Pro Forma'!$F$291:$Z$291)</f>
        <v>-4407889.5148292128</v>
      </c>
      <c r="J23" s="262">
        <f ca="1">-SUMIF('Phase I Pro Forma'!$F$6:$Z$6,'Official Summary'!J$7,'Phase I Pro Forma'!$F$291:$Z$291)-SUMIF('Phase II Pro Forma'!$F$6:$Z$6,'Official Summary'!J$7,'Phase II Pro Forma'!$F$291:$Z$291)-SUMIF('Phase III Pro Forma'!$F$6:$Z$6,'Official Summary'!J$7,'Phase III Pro Forma'!$F$291:$Z$291)</f>
        <v>-4407889.5148292128</v>
      </c>
      <c r="K23" s="262">
        <f ca="1">-SUMIF('Phase I Pro Forma'!$F$6:$Z$6,'Official Summary'!K$7,'Phase I Pro Forma'!$F$291:$Z$291)-SUMIF('Phase II Pro Forma'!$F$6:$Z$6,'Official Summary'!K$7,'Phase II Pro Forma'!$F$291:$Z$291)-SUMIF('Phase III Pro Forma'!$F$6:$Z$6,'Official Summary'!K$7,'Phase III Pro Forma'!$F$291:$Z$291)</f>
        <v>-2799217.1540290178</v>
      </c>
      <c r="L23" s="262">
        <f ca="1">-SUMIF('Phase I Pro Forma'!$F$6:$Z$6,'Official Summary'!L$7,'Phase I Pro Forma'!$F$291:$Z$291)-SUMIF('Phase II Pro Forma'!$F$6:$Z$6,'Official Summary'!L$7,'Phase II Pro Forma'!$F$291:$Z$291)-SUMIF('Phase III Pro Forma'!$F$6:$Z$6,'Official Summary'!L$7,'Phase III Pro Forma'!$F$291:$Z$291)</f>
        <v>-2799217.1540290178</v>
      </c>
      <c r="M23" s="262">
        <f>-SUMIF('Phase I Pro Forma'!$F$6:$Z$6,'Official Summary'!M$7,'Phase I Pro Forma'!$F$291:$Z$291)-SUMIF('Phase II Pro Forma'!$F$6:$Z$6,'Official Summary'!M$7,'Phase II Pro Forma'!$F$291:$Z$291)-SUMIF('Phase III Pro Forma'!$F$6:$Z$6,'Official Summary'!M$7,'Phase III Pro Forma'!$F$291:$Z$291)</f>
        <v>0</v>
      </c>
      <c r="N23" s="292">
        <f>-SUMIF('Phase I Pro Forma'!$F$6:$Z$6,'Official Summary'!N$7,'Phase I Pro Forma'!$F$291:$Z$291)-SUMIF('Phase II Pro Forma'!$F$6:$Z$6,'Official Summary'!N$7,'Phase II Pro Forma'!$F$291:$Z$291)-SUMIF('Phase III Pro Forma'!$F$6:$Z$6,'Official Summary'!N$7,'Phase III Pro Forma'!$F$291:$Z$291)</f>
        <v>0</v>
      </c>
    </row>
    <row r="24" spans="2:14" ht="19" customHeight="1" x14ac:dyDescent="0.35">
      <c r="B24" s="271" t="s">
        <v>19</v>
      </c>
      <c r="C24" s="295"/>
      <c r="D24" s="287">
        <v>0</v>
      </c>
      <c r="E24" s="262">
        <v>0</v>
      </c>
      <c r="F24" s="283">
        <v>0</v>
      </c>
      <c r="G24" s="262">
        <v>0</v>
      </c>
      <c r="H24" s="278">
        <v>0</v>
      </c>
      <c r="I24" s="262">
        <v>0</v>
      </c>
      <c r="J24" s="262">
        <v>0</v>
      </c>
      <c r="K24" s="262">
        <v>0</v>
      </c>
      <c r="L24" s="262">
        <v>0</v>
      </c>
      <c r="M24" s="262">
        <v>0</v>
      </c>
      <c r="N24" s="292">
        <v>0</v>
      </c>
    </row>
    <row r="25" spans="2:14" ht="19" customHeight="1" x14ac:dyDescent="0.35">
      <c r="B25" s="786" t="s">
        <v>1</v>
      </c>
      <c r="C25" s="786"/>
      <c r="D25" s="293">
        <f t="shared" ref="D25:N25" ca="1" si="2">+SUM(D9:D24)</f>
        <v>0</v>
      </c>
      <c r="E25" s="293">
        <f t="shared" ca="1" si="2"/>
        <v>-2859790.3477560584</v>
      </c>
      <c r="F25" s="293">
        <f t="shared" ca="1" si="2"/>
        <v>-2859790.3477560584</v>
      </c>
      <c r="G25" s="293">
        <f t="shared" ca="1" si="2"/>
        <v>7688069.2109750081</v>
      </c>
      <c r="H25" s="293">
        <f t="shared" ca="1" si="2"/>
        <v>20831294.275563378</v>
      </c>
      <c r="I25" s="293">
        <f t="shared" ca="1" si="2"/>
        <v>28457156.050854459</v>
      </c>
      <c r="J25" s="293">
        <f t="shared" ca="1" si="2"/>
        <v>37777390.398515418</v>
      </c>
      <c r="K25" s="293">
        <f t="shared" ca="1" si="2"/>
        <v>52954955.248121679</v>
      </c>
      <c r="L25" s="293">
        <f t="shared" ca="1" si="2"/>
        <v>67374656.712029651</v>
      </c>
      <c r="M25" s="293">
        <f t="shared" ca="1" si="2"/>
        <v>71151841.054904044</v>
      </c>
      <c r="N25" s="293">
        <f t="shared" ca="1" si="2"/>
        <v>73956058.868482515</v>
      </c>
    </row>
    <row r="26" spans="2:14" ht="19" customHeight="1" x14ac:dyDescent="0.35">
      <c r="B26" s="785" t="s">
        <v>342</v>
      </c>
      <c r="C26" s="785"/>
      <c r="D26" s="304">
        <f>+SUMIF('Phase I Pro Forma'!$F$6:$Z$6,'Official Summary'!D$7,'Phase I Pro Forma'!$F$270:$Z$270)+SUMIF('Phase II Pro Forma'!$F$6:$Z$6,'Official Summary'!D$7,'Phase II Pro Forma'!$F$270:$Z$270)+SUMIF('Phase III Pro Forma'!$F$6:$Z$6,'Official Summary'!D$7,'Phase III Pro Forma'!$F$270:$Z$270)+SUMIF('Phase I Pro Forma'!$F$6:$Z$6,'Official Summary'!D$7,'Phase I Pro Forma'!$F$225:$Z$225)+SUMIF('Phase II Pro Forma'!$F$6:$Z$6,'Official Summary'!D$7,'Phase II Pro Forma'!$F$225:$Z$225)+SUMIF('Phase III Pro Forma'!$F$6:$Z$6,'Official Summary'!D$7,'Phase III Pro Forma'!$F$225:$Z$225)+SUMIF('Phase I Pro Forma'!$F$6:$Z$6,'Official Summary'!D$7,'Phase I Pro Forma'!$F$155:$Z$155)+SUMIF('Phase II Pro Forma'!$F$6:$Z$6,'Official Summary'!D$7,'Phase II Pro Forma'!$F$155:$Z$155)+SUMIF('Phase III Pro Forma'!$F$6:$Z$6,'Official Summary'!D$7,'Phase III Pro Forma'!$F$155:$Z$155)</f>
        <v>0</v>
      </c>
      <c r="E26" s="308">
        <f>+SUMIF('Phase I Pro Forma'!$F$6:$Z$6,'Official Summary'!E$7,'Phase I Pro Forma'!$F$270:$Z$270)+SUMIF('Phase II Pro Forma'!$F$6:$Z$6,'Official Summary'!E$7,'Phase II Pro Forma'!$F$270:$Z$270)+SUMIF('Phase III Pro Forma'!$F$6:$Z$6,'Official Summary'!E$7,'Phase III Pro Forma'!$F$270:$Z$270)+SUMIF('Phase I Pro Forma'!$F$6:$Z$6,'Official Summary'!E$7,'Phase I Pro Forma'!$F$225:$Z$225)+SUMIF('Phase II Pro Forma'!$F$6:$Z$6,'Official Summary'!E$7,'Phase II Pro Forma'!$F$225:$Z$225)+SUMIF('Phase III Pro Forma'!$F$6:$Z$6,'Official Summary'!E$7,'Phase III Pro Forma'!$F$225:$Z$225)+SUMIF('Phase I Pro Forma'!$F$6:$Z$6,'Official Summary'!E$7,'Phase I Pro Forma'!$F$155:$Z$155)+SUMIF('Phase II Pro Forma'!$F$6:$Z$6,'Official Summary'!E$7,'Phase II Pro Forma'!$F$155:$Z$155)+SUMIF('Phase III Pro Forma'!$F$6:$Z$6,'Official Summary'!E$7,'Phase III Pro Forma'!$F$155:$Z$155)</f>
        <v>0</v>
      </c>
      <c r="F26" s="305">
        <f>+SUMIF('Phase I Pro Forma'!$F$6:$Z$6,'Official Summary'!F$7,'Phase I Pro Forma'!$F$270:$Z$270)+SUMIF('Phase II Pro Forma'!$F$6:$Z$6,'Official Summary'!F$7,'Phase II Pro Forma'!$F$270:$Z$270)+SUMIF('Phase III Pro Forma'!$F$6:$Z$6,'Official Summary'!F$7,'Phase III Pro Forma'!$F$270:$Z$270)+SUMIF('Phase I Pro Forma'!$F$6:$Z$6,'Official Summary'!F$7,'Phase I Pro Forma'!$F$225:$Z$225)+SUMIF('Phase II Pro Forma'!$F$6:$Z$6,'Official Summary'!F$7,'Phase II Pro Forma'!$F$225:$Z$225)+SUMIF('Phase III Pro Forma'!$F$6:$Z$6,'Official Summary'!F$7,'Phase III Pro Forma'!$F$225:$Z$225)+SUMIF('Phase I Pro Forma'!$F$6:$Z$6,'Official Summary'!F$7,'Phase I Pro Forma'!$F$155:$Z$155)+SUMIF('Phase II Pro Forma'!$F$6:$Z$6,'Official Summary'!F$7,'Phase II Pro Forma'!$F$155:$Z$155)+SUMIF('Phase III Pro Forma'!$F$6:$Z$6,'Official Summary'!F$7,'Phase III Pro Forma'!$F$155:$Z$155)</f>
        <v>0</v>
      </c>
      <c r="G26" s="308">
        <f>+SUMIF('Phase I Pro Forma'!$F$6:$Z$6,'Official Summary'!G$7,'Phase I Pro Forma'!$F$270:$Z$270)+SUMIF('Phase II Pro Forma'!$F$6:$Z$6,'Official Summary'!G$7,'Phase II Pro Forma'!$F$270:$Z$270)+SUMIF('Phase III Pro Forma'!$F$6:$Z$6,'Official Summary'!G$7,'Phase III Pro Forma'!$F$270:$Z$270)+SUMIF('Phase I Pro Forma'!$F$6:$Z$6,'Official Summary'!G$7,'Phase I Pro Forma'!$F$225:$Z$225)+SUMIF('Phase II Pro Forma'!$F$6:$Z$6,'Official Summary'!G$7,'Phase II Pro Forma'!$F$225:$Z$225)+SUMIF('Phase III Pro Forma'!$F$6:$Z$6,'Official Summary'!G$7,'Phase III Pro Forma'!$F$225:$Z$225)+SUMIF('Phase I Pro Forma'!$F$6:$Z$6,'Official Summary'!G$7,'Phase I Pro Forma'!$F$155:$Z$155)+SUMIF('Phase II Pro Forma'!$F$6:$Z$6,'Official Summary'!G$7,'Phase II Pro Forma'!$F$155:$Z$155)+SUMIF('Phase III Pro Forma'!$F$6:$Z$6,'Official Summary'!G$7,'Phase III Pro Forma'!$F$155:$Z$155)</f>
        <v>0</v>
      </c>
      <c r="H26" s="306">
        <f>+SUMIF('Phase I Pro Forma'!$F$6:$Z$6,'Official Summary'!H$7,'Phase I Pro Forma'!$F$270:$Z$270)+SUMIF('Phase II Pro Forma'!$F$6:$Z$6,'Official Summary'!H$7,'Phase II Pro Forma'!$F$270:$Z$270)+SUMIF('Phase III Pro Forma'!$F$6:$Z$6,'Official Summary'!H$7,'Phase III Pro Forma'!$F$270:$Z$270)+SUMIF('Phase I Pro Forma'!$F$6:$Z$6,'Official Summary'!H$7,'Phase I Pro Forma'!$F$225:$Z$225)+SUMIF('Phase II Pro Forma'!$F$6:$Z$6,'Official Summary'!H$7,'Phase II Pro Forma'!$F$225:$Z$225)+SUMIF('Phase III Pro Forma'!$F$6:$Z$6,'Official Summary'!H$7,'Phase III Pro Forma'!$F$225:$Z$225)+SUMIF('Phase I Pro Forma'!$F$6:$Z$6,'Official Summary'!H$7,'Phase I Pro Forma'!$F$155:$Z$155)+SUMIF('Phase II Pro Forma'!$F$6:$Z$6,'Official Summary'!H$7,'Phase II Pro Forma'!$F$155:$Z$155)+SUMIF('Phase III Pro Forma'!$F$6:$Z$6,'Official Summary'!H$7,'Phase III Pro Forma'!$F$155:$Z$155)</f>
        <v>0</v>
      </c>
      <c r="I26" s="308">
        <f>+SUMIF('Phase I Pro Forma'!$F$6:$Z$6,'Official Summary'!I$7,'Phase I Pro Forma'!$F$270:$Z$270)+SUMIF('Phase II Pro Forma'!$F$6:$Z$6,'Official Summary'!I$7,'Phase II Pro Forma'!$F$270:$Z$270)+SUMIF('Phase III Pro Forma'!$F$6:$Z$6,'Official Summary'!I$7,'Phase III Pro Forma'!$F$270:$Z$270)+SUMIF('Phase I Pro Forma'!$F$6:$Z$6,'Official Summary'!I$7,'Phase I Pro Forma'!$F$225:$Z$225)+SUMIF('Phase II Pro Forma'!$F$6:$Z$6,'Official Summary'!I$7,'Phase II Pro Forma'!$F$225:$Z$225)+SUMIF('Phase III Pro Forma'!$F$6:$Z$6,'Official Summary'!I$7,'Phase III Pro Forma'!$F$225:$Z$225)+SUMIF('Phase I Pro Forma'!$F$6:$Z$6,'Official Summary'!I$7,'Phase I Pro Forma'!$F$155:$Z$155)+SUMIF('Phase II Pro Forma'!$F$6:$Z$6,'Official Summary'!I$7,'Phase II Pro Forma'!$F$155:$Z$155)+SUMIF('Phase III Pro Forma'!$F$6:$Z$6,'Official Summary'!I$7,'Phase III Pro Forma'!$F$155:$Z$155)</f>
        <v>0</v>
      </c>
      <c r="J26" s="308">
        <f>+SUMIF('Phase I Pro Forma'!$F$6:$Z$6,'Official Summary'!J$7,'Phase I Pro Forma'!$F$270:$Z$270)+SUMIF('Phase II Pro Forma'!$F$6:$Z$6,'Official Summary'!J$7,'Phase II Pro Forma'!$F$270:$Z$270)+SUMIF('Phase III Pro Forma'!$F$6:$Z$6,'Official Summary'!J$7,'Phase III Pro Forma'!$F$270:$Z$270)+SUMIF('Phase I Pro Forma'!$F$6:$Z$6,'Official Summary'!J$7,'Phase I Pro Forma'!$F$225:$Z$225)+SUMIF('Phase II Pro Forma'!$F$6:$Z$6,'Official Summary'!J$7,'Phase II Pro Forma'!$F$225:$Z$225)+SUMIF('Phase III Pro Forma'!$F$6:$Z$6,'Official Summary'!J$7,'Phase III Pro Forma'!$F$225:$Z$225)+SUMIF('Phase I Pro Forma'!$F$6:$Z$6,'Official Summary'!J$7,'Phase I Pro Forma'!$F$155:$Z$155)+SUMIF('Phase II Pro Forma'!$F$6:$Z$6,'Official Summary'!J$7,'Phase II Pro Forma'!$F$155:$Z$155)+SUMIF('Phase III Pro Forma'!$F$6:$Z$6,'Official Summary'!J$7,'Phase III Pro Forma'!$F$155:$Z$155)</f>
        <v>0</v>
      </c>
      <c r="K26" s="308">
        <f>+SUMIF('Phase I Pro Forma'!$F$6:$Z$6,'Official Summary'!K$7,'Phase I Pro Forma'!$F$270:$Z$270)+SUMIF('Phase II Pro Forma'!$F$6:$Z$6,'Official Summary'!K$7,'Phase II Pro Forma'!$F$270:$Z$270)+SUMIF('Phase III Pro Forma'!$F$6:$Z$6,'Official Summary'!K$7,'Phase III Pro Forma'!$F$270:$Z$270)+SUMIF('Phase I Pro Forma'!$F$6:$Z$6,'Official Summary'!K$7,'Phase I Pro Forma'!$F$225:$Z$225)+SUMIF('Phase II Pro Forma'!$F$6:$Z$6,'Official Summary'!K$7,'Phase II Pro Forma'!$F$225:$Z$225)+SUMIF('Phase III Pro Forma'!$F$6:$Z$6,'Official Summary'!K$7,'Phase III Pro Forma'!$F$225:$Z$225)+SUMIF('Phase I Pro Forma'!$F$6:$Z$6,'Official Summary'!K$7,'Phase I Pro Forma'!$F$155:$Z$155)+SUMIF('Phase II Pro Forma'!$F$6:$Z$6,'Official Summary'!K$7,'Phase II Pro Forma'!$F$155:$Z$155)+SUMIF('Phase III Pro Forma'!$F$6:$Z$6,'Official Summary'!K$7,'Phase III Pro Forma'!$F$155:$Z$155)</f>
        <v>0</v>
      </c>
      <c r="L26" s="308">
        <f>+SUMIF('Phase I Pro Forma'!$F$6:$Z$6,'Official Summary'!L$7,'Phase I Pro Forma'!$F$270:$Z$270)+SUMIF('Phase II Pro Forma'!$F$6:$Z$6,'Official Summary'!L$7,'Phase II Pro Forma'!$F$270:$Z$270)+SUMIF('Phase III Pro Forma'!$F$6:$Z$6,'Official Summary'!L$7,'Phase III Pro Forma'!$F$270:$Z$270)+SUMIF('Phase I Pro Forma'!$F$6:$Z$6,'Official Summary'!L$7,'Phase I Pro Forma'!$F$225:$Z$225)+SUMIF('Phase II Pro Forma'!$F$6:$Z$6,'Official Summary'!L$7,'Phase II Pro Forma'!$F$225:$Z$225)+SUMIF('Phase III Pro Forma'!$F$6:$Z$6,'Official Summary'!L$7,'Phase III Pro Forma'!$F$225:$Z$225)+SUMIF('Phase I Pro Forma'!$F$6:$Z$6,'Official Summary'!L$7,'Phase I Pro Forma'!$F$155:$Z$155)+SUMIF('Phase II Pro Forma'!$F$6:$Z$6,'Official Summary'!L$7,'Phase II Pro Forma'!$F$155:$Z$155)+SUMIF('Phase III Pro Forma'!$F$6:$Z$6,'Official Summary'!L$7,'Phase III Pro Forma'!$F$155:$Z$155)</f>
        <v>0</v>
      </c>
      <c r="M26" s="308">
        <f>+SUMIF('Phase I Pro Forma'!$F$6:$Z$6,'Official Summary'!M$7,'Phase I Pro Forma'!$F$270:$Z$270)+SUMIF('Phase II Pro Forma'!$F$6:$Z$6,'Official Summary'!M$7,'Phase II Pro Forma'!$F$270:$Z$270)+SUMIF('Phase III Pro Forma'!$F$6:$Z$6,'Official Summary'!M$7,'Phase III Pro Forma'!$F$270:$Z$270)+SUMIF('Phase I Pro Forma'!$F$6:$Z$6,'Official Summary'!M$7,'Phase I Pro Forma'!$F$225:$Z$225)+SUMIF('Phase II Pro Forma'!$F$6:$Z$6,'Official Summary'!M$7,'Phase II Pro Forma'!$F$225:$Z$225)+SUMIF('Phase III Pro Forma'!$F$6:$Z$6,'Official Summary'!M$7,'Phase III Pro Forma'!$F$225:$Z$225)+SUMIF('Phase I Pro Forma'!$F$6:$Z$6,'Official Summary'!M$7,'Phase I Pro Forma'!$F$155:$Z$155)+SUMIF('Phase II Pro Forma'!$F$6:$Z$6,'Official Summary'!M$7,'Phase II Pro Forma'!$F$155:$Z$155)+SUMIF('Phase III Pro Forma'!$F$6:$Z$6,'Official Summary'!M$7,'Phase III Pro Forma'!$F$155:$Z$155)</f>
        <v>0</v>
      </c>
      <c r="N26" s="307">
        <f ca="1">+SUMIF('Phase I Pro Forma'!$F$6:$Z$6,'Official Summary'!N$7,'Phase I Pro Forma'!$F$270:$Z$270)+SUMIF('Phase II Pro Forma'!$F$6:$Z$6,'Official Summary'!N$7,'Phase II Pro Forma'!$F$270:$Z$270)+SUMIF('Phase III Pro Forma'!$F$6:$Z$6,'Official Summary'!N$7,'Phase III Pro Forma'!$F$270:$Z$270)+SUMIF('Phase I Pro Forma'!$F$6:$Z$6,'Official Summary'!N$7,'Phase I Pro Forma'!$F$225:$Z$225)+SUMIF('Phase II Pro Forma'!$F$6:$Z$6,'Official Summary'!N$7,'Phase II Pro Forma'!$F$225:$Z$225)+SUMIF('Phase III Pro Forma'!$F$6:$Z$6,'Official Summary'!N$7,'Phase III Pro Forma'!$F$225:$Z$225)+SUMIF('Phase I Pro Forma'!$F$6:$Z$6,'Official Summary'!N$7,'Phase I Pro Forma'!$F$155:$Z$155)+SUMIF('Phase II Pro Forma'!$F$6:$Z$6,'Official Summary'!N$7,'Phase II Pro Forma'!$F$155:$Z$155)+SUMIF('Phase III Pro Forma'!$F$6:$Z$6,'Official Summary'!N$7,'Phase III Pro Forma'!$F$155:$Z$155)</f>
        <v>1193317734.3381302</v>
      </c>
    </row>
    <row r="27" spans="2:14" ht="19" customHeight="1" x14ac:dyDescent="0.35">
      <c r="B27" s="303" t="s">
        <v>436</v>
      </c>
      <c r="C27" s="302"/>
      <c r="D27" s="287">
        <f>+SUMIF('Phase I Pro Forma'!$F$6:$Z$6,'Official Summary'!D$7,'Phase I Pro Forma'!$F$271:$Z$271)+SUMIF('Phase II Pro Forma'!$F$6:$Z$6,'Official Summary'!D$7,'Phase II Pro Forma'!$F$271:$Z$271)+SUMIF('Phase III Pro Forma'!$F$6:$Z$6,'Official Summary'!D$7,'Phase III Pro Forma'!$F$271:$Z$271)+SUMIF('Phase I Pro Forma'!$F$6:$Z$6,'Official Summary'!D$7,'Phase I Pro Forma'!$F$226:$Z$226)+SUMIF('Phase II Pro Forma'!$F$6:$Z$6,'Official Summary'!D$7,'Phase II Pro Forma'!$F$226:$Z$226)+SUMIF('Phase III Pro Forma'!$F$6:$Z$6,'Official Summary'!D$7,'Phase III Pro Forma'!$F$226:$Z$226)+SUMIF('Phase I Pro Forma'!$F$6:$Z$6,'Official Summary'!D$7,'Phase I Pro Forma'!$F$157:$Z$157)+SUMIF('Phase II Pro Forma'!$F$6:$Z$6,'Official Summary'!D$7,'Phase II Pro Forma'!$F$157:$Z$157)+SUMIF('Phase III Pro Forma'!$F$6:$Z$6,'Official Summary'!D$7,'Phase III Pro Forma'!$F$157:$Z$157)</f>
        <v>0</v>
      </c>
      <c r="E27" s="309">
        <f>+SUMIF('Phase I Pro Forma'!$F$6:$Z$6,'Official Summary'!E$7,'Phase I Pro Forma'!$F$271:$Z$271)+SUMIF('Phase II Pro Forma'!$F$6:$Z$6,'Official Summary'!E$7,'Phase II Pro Forma'!$F$271:$Z$271)+SUMIF('Phase III Pro Forma'!$F$6:$Z$6,'Official Summary'!E$7,'Phase III Pro Forma'!$F$271:$Z$271)+SUMIF('Phase I Pro Forma'!$F$6:$Z$6,'Official Summary'!E$7,'Phase I Pro Forma'!$F$226:$Z$226)+SUMIF('Phase II Pro Forma'!$F$6:$Z$6,'Official Summary'!E$7,'Phase II Pro Forma'!$F$226:$Z$226)+SUMIF('Phase III Pro Forma'!$F$6:$Z$6,'Official Summary'!E$7,'Phase III Pro Forma'!$F$226:$Z$226)+SUMIF('Phase I Pro Forma'!$F$6:$Z$6,'Official Summary'!E$7,'Phase I Pro Forma'!$F$157:$Z$157)+SUMIF('Phase II Pro Forma'!$F$6:$Z$6,'Official Summary'!E$7,'Phase II Pro Forma'!$F$157:$Z$157)+SUMIF('Phase III Pro Forma'!$F$6:$Z$6,'Official Summary'!E$7,'Phase III Pro Forma'!$F$157:$Z$157)</f>
        <v>0</v>
      </c>
      <c r="F27" s="283">
        <f>+SUMIF('Phase I Pro Forma'!$F$6:$Z$6,'Official Summary'!F$7,'Phase I Pro Forma'!$F$271:$Z$271)+SUMIF('Phase II Pro Forma'!$F$6:$Z$6,'Official Summary'!F$7,'Phase II Pro Forma'!$F$271:$Z$271)+SUMIF('Phase III Pro Forma'!$F$6:$Z$6,'Official Summary'!F$7,'Phase III Pro Forma'!$F$271:$Z$271)+SUMIF('Phase I Pro Forma'!$F$6:$Z$6,'Official Summary'!F$7,'Phase I Pro Forma'!$F$226:$Z$226)+SUMIF('Phase II Pro Forma'!$F$6:$Z$6,'Official Summary'!F$7,'Phase II Pro Forma'!$F$226:$Z$226)+SUMIF('Phase III Pro Forma'!$F$6:$Z$6,'Official Summary'!F$7,'Phase III Pro Forma'!$F$226:$Z$226)+SUMIF('Phase I Pro Forma'!$F$6:$Z$6,'Official Summary'!F$7,'Phase I Pro Forma'!$F$157:$Z$157)+SUMIF('Phase II Pro Forma'!$F$6:$Z$6,'Official Summary'!F$7,'Phase II Pro Forma'!$F$157:$Z$157)+SUMIF('Phase III Pro Forma'!$F$6:$Z$6,'Official Summary'!F$7,'Phase III Pro Forma'!$F$157:$Z$157)</f>
        <v>0</v>
      </c>
      <c r="G27" s="309">
        <f>+SUMIF('Phase I Pro Forma'!$F$6:$Z$6,'Official Summary'!G$7,'Phase I Pro Forma'!$F$271:$Z$271)+SUMIF('Phase II Pro Forma'!$F$6:$Z$6,'Official Summary'!G$7,'Phase II Pro Forma'!$F$271:$Z$271)+SUMIF('Phase III Pro Forma'!$F$6:$Z$6,'Official Summary'!G$7,'Phase III Pro Forma'!$F$271:$Z$271)+SUMIF('Phase I Pro Forma'!$F$6:$Z$6,'Official Summary'!G$7,'Phase I Pro Forma'!$F$226:$Z$226)+SUMIF('Phase II Pro Forma'!$F$6:$Z$6,'Official Summary'!G$7,'Phase II Pro Forma'!$F$226:$Z$226)+SUMIF('Phase III Pro Forma'!$F$6:$Z$6,'Official Summary'!G$7,'Phase III Pro Forma'!$F$226:$Z$226)+SUMIF('Phase I Pro Forma'!$F$6:$Z$6,'Official Summary'!G$7,'Phase I Pro Forma'!$F$157:$Z$157)+SUMIF('Phase II Pro Forma'!$F$6:$Z$6,'Official Summary'!G$7,'Phase II Pro Forma'!$F$157:$Z$157)+SUMIF('Phase III Pro Forma'!$F$6:$Z$6,'Official Summary'!G$7,'Phase III Pro Forma'!$F$157:$Z$157)</f>
        <v>0</v>
      </c>
      <c r="H27" s="278">
        <f>+SUMIF('Phase I Pro Forma'!$F$6:$Z$6,'Official Summary'!H$7,'Phase I Pro Forma'!$F$271:$Z$271)+SUMIF('Phase II Pro Forma'!$F$6:$Z$6,'Official Summary'!H$7,'Phase II Pro Forma'!$F$271:$Z$271)+SUMIF('Phase III Pro Forma'!$F$6:$Z$6,'Official Summary'!H$7,'Phase III Pro Forma'!$F$271:$Z$271)+SUMIF('Phase I Pro Forma'!$F$6:$Z$6,'Official Summary'!H$7,'Phase I Pro Forma'!$F$226:$Z$226)+SUMIF('Phase II Pro Forma'!$F$6:$Z$6,'Official Summary'!H$7,'Phase II Pro Forma'!$F$226:$Z$226)+SUMIF('Phase III Pro Forma'!$F$6:$Z$6,'Official Summary'!H$7,'Phase III Pro Forma'!$F$226:$Z$226)+SUMIF('Phase I Pro Forma'!$F$6:$Z$6,'Official Summary'!H$7,'Phase I Pro Forma'!$F$157:$Z$157)+SUMIF('Phase II Pro Forma'!$F$6:$Z$6,'Official Summary'!H$7,'Phase II Pro Forma'!$F$157:$Z$157)+SUMIF('Phase III Pro Forma'!$F$6:$Z$6,'Official Summary'!H$7,'Phase III Pro Forma'!$F$157:$Z$157)</f>
        <v>0</v>
      </c>
      <c r="I27" s="309">
        <f>+SUMIF('Phase I Pro Forma'!$F$6:$Z$6,'Official Summary'!I$7,'Phase I Pro Forma'!$F$271:$Z$271)+SUMIF('Phase II Pro Forma'!$F$6:$Z$6,'Official Summary'!I$7,'Phase II Pro Forma'!$F$271:$Z$271)+SUMIF('Phase III Pro Forma'!$F$6:$Z$6,'Official Summary'!I$7,'Phase III Pro Forma'!$F$271:$Z$271)+SUMIF('Phase I Pro Forma'!$F$6:$Z$6,'Official Summary'!I$7,'Phase I Pro Forma'!$F$226:$Z$226)+SUMIF('Phase II Pro Forma'!$F$6:$Z$6,'Official Summary'!I$7,'Phase II Pro Forma'!$F$226:$Z$226)+SUMIF('Phase III Pro Forma'!$F$6:$Z$6,'Official Summary'!I$7,'Phase III Pro Forma'!$F$226:$Z$226)+SUMIF('Phase I Pro Forma'!$F$6:$Z$6,'Official Summary'!I$7,'Phase I Pro Forma'!$F$157:$Z$157)+SUMIF('Phase II Pro Forma'!$F$6:$Z$6,'Official Summary'!I$7,'Phase II Pro Forma'!$F$157:$Z$157)+SUMIF('Phase III Pro Forma'!$F$6:$Z$6,'Official Summary'!I$7,'Phase III Pro Forma'!$F$157:$Z$157)</f>
        <v>0</v>
      </c>
      <c r="J27" s="309">
        <f>+SUMIF('Phase I Pro Forma'!$F$6:$Z$6,'Official Summary'!J$7,'Phase I Pro Forma'!$F$271:$Z$271)+SUMIF('Phase II Pro Forma'!$F$6:$Z$6,'Official Summary'!J$7,'Phase II Pro Forma'!$F$271:$Z$271)+SUMIF('Phase III Pro Forma'!$F$6:$Z$6,'Official Summary'!J$7,'Phase III Pro Forma'!$F$271:$Z$271)+SUMIF('Phase I Pro Forma'!$F$6:$Z$6,'Official Summary'!J$7,'Phase I Pro Forma'!$F$226:$Z$226)+SUMIF('Phase II Pro Forma'!$F$6:$Z$6,'Official Summary'!J$7,'Phase II Pro Forma'!$F$226:$Z$226)+SUMIF('Phase III Pro Forma'!$F$6:$Z$6,'Official Summary'!J$7,'Phase III Pro Forma'!$F$226:$Z$226)+SUMIF('Phase I Pro Forma'!$F$6:$Z$6,'Official Summary'!J$7,'Phase I Pro Forma'!$F$157:$Z$157)+SUMIF('Phase II Pro Forma'!$F$6:$Z$6,'Official Summary'!J$7,'Phase II Pro Forma'!$F$157:$Z$157)+SUMIF('Phase III Pro Forma'!$F$6:$Z$6,'Official Summary'!J$7,'Phase III Pro Forma'!$F$157:$Z$157)</f>
        <v>0</v>
      </c>
      <c r="K27" s="309">
        <f>+SUMIF('Phase I Pro Forma'!$F$6:$Z$6,'Official Summary'!K$7,'Phase I Pro Forma'!$F$271:$Z$271)+SUMIF('Phase II Pro Forma'!$F$6:$Z$6,'Official Summary'!K$7,'Phase II Pro Forma'!$F$271:$Z$271)+SUMIF('Phase III Pro Forma'!$F$6:$Z$6,'Official Summary'!K$7,'Phase III Pro Forma'!$F$271:$Z$271)+SUMIF('Phase I Pro Forma'!$F$6:$Z$6,'Official Summary'!K$7,'Phase I Pro Forma'!$F$226:$Z$226)+SUMIF('Phase II Pro Forma'!$F$6:$Z$6,'Official Summary'!K$7,'Phase II Pro Forma'!$F$226:$Z$226)+SUMIF('Phase III Pro Forma'!$F$6:$Z$6,'Official Summary'!K$7,'Phase III Pro Forma'!$F$226:$Z$226)+SUMIF('Phase I Pro Forma'!$F$6:$Z$6,'Official Summary'!K$7,'Phase I Pro Forma'!$F$157:$Z$157)+SUMIF('Phase II Pro Forma'!$F$6:$Z$6,'Official Summary'!K$7,'Phase II Pro Forma'!$F$157:$Z$157)+SUMIF('Phase III Pro Forma'!$F$6:$Z$6,'Official Summary'!K$7,'Phase III Pro Forma'!$F$157:$Z$157)</f>
        <v>0</v>
      </c>
      <c r="L27" s="309">
        <f>+SUMIF('Phase I Pro Forma'!$F$6:$Z$6,'Official Summary'!L$7,'Phase I Pro Forma'!$F$271:$Z$271)+SUMIF('Phase II Pro Forma'!$F$6:$Z$6,'Official Summary'!L$7,'Phase II Pro Forma'!$F$271:$Z$271)+SUMIF('Phase III Pro Forma'!$F$6:$Z$6,'Official Summary'!L$7,'Phase III Pro Forma'!$F$271:$Z$271)+SUMIF('Phase I Pro Forma'!$F$6:$Z$6,'Official Summary'!L$7,'Phase I Pro Forma'!$F$226:$Z$226)+SUMIF('Phase II Pro Forma'!$F$6:$Z$6,'Official Summary'!L$7,'Phase II Pro Forma'!$F$226:$Z$226)+SUMIF('Phase III Pro Forma'!$F$6:$Z$6,'Official Summary'!L$7,'Phase III Pro Forma'!$F$226:$Z$226)+SUMIF('Phase I Pro Forma'!$F$6:$Z$6,'Official Summary'!L$7,'Phase I Pro Forma'!$F$157:$Z$157)+SUMIF('Phase II Pro Forma'!$F$6:$Z$6,'Official Summary'!L$7,'Phase II Pro Forma'!$F$157:$Z$157)+SUMIF('Phase III Pro Forma'!$F$6:$Z$6,'Official Summary'!L$7,'Phase III Pro Forma'!$F$157:$Z$157)</f>
        <v>0</v>
      </c>
      <c r="M27" s="309">
        <f>+SUMIF('Phase I Pro Forma'!$F$6:$Z$6,'Official Summary'!M$7,'Phase I Pro Forma'!$F$271:$Z$271)+SUMIF('Phase II Pro Forma'!$F$6:$Z$6,'Official Summary'!M$7,'Phase II Pro Forma'!$F$271:$Z$271)+SUMIF('Phase III Pro Forma'!$F$6:$Z$6,'Official Summary'!M$7,'Phase III Pro Forma'!$F$271:$Z$271)+SUMIF('Phase I Pro Forma'!$F$6:$Z$6,'Official Summary'!M$7,'Phase I Pro Forma'!$F$226:$Z$226)+SUMIF('Phase II Pro Forma'!$F$6:$Z$6,'Official Summary'!M$7,'Phase II Pro Forma'!$F$226:$Z$226)+SUMIF('Phase III Pro Forma'!$F$6:$Z$6,'Official Summary'!M$7,'Phase III Pro Forma'!$F$226:$Z$226)+SUMIF('Phase I Pro Forma'!$F$6:$Z$6,'Official Summary'!M$7,'Phase I Pro Forma'!$F$157:$Z$157)+SUMIF('Phase II Pro Forma'!$F$6:$Z$6,'Official Summary'!M$7,'Phase II Pro Forma'!$F$157:$Z$157)+SUMIF('Phase III Pro Forma'!$F$6:$Z$6,'Official Summary'!M$7,'Phase III Pro Forma'!$F$157:$Z$157)</f>
        <v>0</v>
      </c>
      <c r="N27" s="292">
        <f ca="1">+SUMIF('Phase I Pro Forma'!$F$6:$Z$6,'Official Summary'!N$7,'Phase I Pro Forma'!$F$271:$Z$271)+SUMIF('Phase II Pro Forma'!$F$6:$Z$6,'Official Summary'!N$7,'Phase II Pro Forma'!$F$271:$Z$271)+SUMIF('Phase III Pro Forma'!$F$6:$Z$6,'Official Summary'!N$7,'Phase III Pro Forma'!$F$271:$Z$271)+SUMIF('Phase I Pro Forma'!$F$6:$Z$6,'Official Summary'!N$7,'Phase I Pro Forma'!$F$226:$Z$226)+SUMIF('Phase II Pro Forma'!$F$6:$Z$6,'Official Summary'!N$7,'Phase II Pro Forma'!$F$226:$Z$226)+SUMIF('Phase III Pro Forma'!$F$6:$Z$6,'Official Summary'!N$7,'Phase III Pro Forma'!$F$226:$Z$226)+SUMIF('Phase I Pro Forma'!$F$6:$Z$6,'Official Summary'!N$7,'Phase I Pro Forma'!$F$157:$Z$157)+SUMIF('Phase II Pro Forma'!$F$6:$Z$6,'Official Summary'!N$7,'Phase II Pro Forma'!$F$157:$Z$157)+SUMIF('Phase III Pro Forma'!$F$6:$Z$6,'Official Summary'!N$7,'Phase III Pro Forma'!$F$157:$Z$157)</f>
        <v>-23866354.686762609</v>
      </c>
    </row>
    <row r="28" spans="2:14" ht="19" customHeight="1" x14ac:dyDescent="0.35">
      <c r="B28" s="297" t="s">
        <v>49</v>
      </c>
      <c r="C28" s="269"/>
      <c r="D28" s="298">
        <f ca="1">+SUM(D25:D27)</f>
        <v>0</v>
      </c>
      <c r="E28" s="298">
        <f t="shared" ref="E28:N28" ca="1" si="3">+SUM(E25:E27)</f>
        <v>-2859790.3477560584</v>
      </c>
      <c r="F28" s="298">
        <f t="shared" ca="1" si="3"/>
        <v>-2859790.3477560584</v>
      </c>
      <c r="G28" s="298">
        <f t="shared" ca="1" si="3"/>
        <v>7688069.2109750081</v>
      </c>
      <c r="H28" s="298">
        <f t="shared" ca="1" si="3"/>
        <v>20831294.275563378</v>
      </c>
      <c r="I28" s="298">
        <f t="shared" ca="1" si="3"/>
        <v>28457156.050854459</v>
      </c>
      <c r="J28" s="298">
        <f t="shared" ca="1" si="3"/>
        <v>37777390.398515418</v>
      </c>
      <c r="K28" s="298">
        <f t="shared" ca="1" si="3"/>
        <v>52954955.248121679</v>
      </c>
      <c r="L28" s="298">
        <f t="shared" ca="1" si="3"/>
        <v>67374656.712029651</v>
      </c>
      <c r="M28" s="298">
        <f t="shared" ca="1" si="3"/>
        <v>71151841.054904044</v>
      </c>
      <c r="N28" s="298">
        <f t="shared" ca="1" si="3"/>
        <v>1243407438.5198503</v>
      </c>
    </row>
    <row r="29" spans="2:14" ht="19" customHeight="1" x14ac:dyDescent="0.35">
      <c r="B29" s="240"/>
      <c r="C29" s="241"/>
      <c r="D29" s="242"/>
      <c r="E29" s="243"/>
      <c r="F29" s="243"/>
      <c r="G29" s="243"/>
      <c r="H29" s="243"/>
      <c r="I29" s="243"/>
      <c r="J29" s="243"/>
      <c r="K29" s="243"/>
      <c r="L29" s="243"/>
      <c r="M29" s="244"/>
      <c r="N29" s="243"/>
    </row>
    <row r="30" spans="2:14" ht="19" customHeight="1" x14ac:dyDescent="0.35">
      <c r="B30" s="265" t="s">
        <v>2</v>
      </c>
      <c r="C30" s="265"/>
      <c r="D30" s="284" t="s">
        <v>21</v>
      </c>
      <c r="F30" s="279" t="s">
        <v>381</v>
      </c>
      <c r="G30" s="266"/>
      <c r="H30" s="274" t="s">
        <v>384</v>
      </c>
      <c r="I30" s="266"/>
      <c r="J30" s="266"/>
      <c r="K30" s="266"/>
      <c r="L30" s="266"/>
      <c r="M30" s="252"/>
      <c r="N30" s="288" t="s">
        <v>434</v>
      </c>
    </row>
    <row r="31" spans="2:14" ht="19" customHeight="1" x14ac:dyDescent="0.35">
      <c r="B31" s="295" t="s">
        <v>57</v>
      </c>
      <c r="C31" s="267"/>
      <c r="D31" s="285"/>
      <c r="F31" s="280"/>
      <c r="G31" s="238"/>
      <c r="H31" s="275"/>
      <c r="I31" s="238"/>
      <c r="J31" s="238"/>
      <c r="K31" s="238"/>
      <c r="L31" s="238"/>
      <c r="M31" s="239"/>
      <c r="N31" s="290"/>
    </row>
    <row r="32" spans="2:14" ht="19" customHeight="1" x14ac:dyDescent="0.35">
      <c r="B32" s="299" t="s">
        <v>433</v>
      </c>
      <c r="C32" s="299"/>
      <c r="D32" s="286">
        <f ca="1">+(SUMIF('Phase I Pro Forma'!$F$6:$Z$6,'Official Summary'!D$7,'Phase I Pro Forma'!$F$287:$Z$287)+SUMIF('Phase II Pro Forma'!$F$6:$Z$6,'Official Summary'!D$7,'Phase II Pro Forma'!$F$287:$Z$287)+SUMIF('Phase III Pro Forma'!$F$6:$Z$6,'Official Summary'!D$7,'Phase III Pro Forma'!$F$287:$Z$287))*(SUM(Budget!$N$35:$N$44)/SUM(Budget!$M$35:$U$44))</f>
        <v>53241.378026500701</v>
      </c>
      <c r="E32" s="268">
        <f ca="1">+(SUMIF('Phase I Pro Forma'!$F$6:$Z$6,'Official Summary'!E$7,'Phase I Pro Forma'!$F$287:$Z$287)+SUMIF('Phase II Pro Forma'!$F$6:$Z$6,'Official Summary'!E$7,'Phase II Pro Forma'!$F$287:$Z$287)+SUMIF('Phase III Pro Forma'!$F$6:$Z$6,'Official Summary'!E$7,'Phase III Pro Forma'!$F$287:$Z$287))*(SUM(Budget!$N$35:$N$44)/SUM(Budget!$M$35:$U$44))</f>
        <v>49498418.752369188</v>
      </c>
      <c r="F32" s="282">
        <f ca="1">+(SUMIF('Phase I Pro Forma'!$F$6:$Z$6,'Official Summary'!F$7,'Phase I Pro Forma'!$F$287:$Z$287)+SUMIF('Phase II Pro Forma'!$F$6:$Z$6,'Official Summary'!F$7,'Phase II Pro Forma'!$F$287:$Z$287)+SUMIF('Phase III Pro Forma'!$F$6:$Z$6,'Official Summary'!F$7,'Phase III Pro Forma'!$F$287:$Z$287))*(SUM(Budget!$N$35:$N$44)/SUM(Budget!$M$35:$U$44))</f>
        <v>49498418.752369188</v>
      </c>
      <c r="G32" s="268">
        <f ca="1">+(SUMIF('Phase I Pro Forma'!$F$6:$Z$6,'Official Summary'!G$7,'Phase I Pro Forma'!$F$287:$Z$287)+SUMIF('Phase II Pro Forma'!$F$6:$Z$6,'Official Summary'!G$7,'Phase II Pro Forma'!$F$287:$Z$287)+SUMIF('Phase III Pro Forma'!$F$6:$Z$6,'Official Summary'!G$7,'Phase III Pro Forma'!$F$287:$Z$287))*(SUM(Budget!$N$35:$N$44)/SUM(Budget!$M$35:$U$44))</f>
        <v>28975876.272661801</v>
      </c>
      <c r="H32" s="277">
        <f ca="1">+(SUMIF('Phase I Pro Forma'!$F$6:$Z$6,'Official Summary'!H$7,'Phase I Pro Forma'!$F$287:$Z$287)+SUMIF('Phase II Pro Forma'!$F$6:$Z$6,'Official Summary'!H$7,'Phase II Pro Forma'!$F$287:$Z$287)+SUMIF('Phase III Pro Forma'!$F$6:$Z$6,'Official Summary'!H$7,'Phase III Pro Forma'!$F$287:$Z$287))*(SUM(Budget!$N$35:$N$44)/SUM(Budget!$M$35:$U$44))</f>
        <v>28975876.272661801</v>
      </c>
      <c r="I32" s="268">
        <f ca="1">+(SUMIF('Phase I Pro Forma'!$F$6:$Z$6,'Official Summary'!I$7,'Phase I Pro Forma'!$F$287:$Z$287)+SUMIF('Phase II Pro Forma'!$F$6:$Z$6,'Official Summary'!I$7,'Phase II Pro Forma'!$F$287:$Z$287)+SUMIF('Phase III Pro Forma'!$F$6:$Z$6,'Official Summary'!I$7,'Phase III Pro Forma'!$F$287:$Z$287))*(SUM(Budget!$N$35:$N$44)/SUM(Budget!$M$35:$U$44))</f>
        <v>48424960.576475963</v>
      </c>
      <c r="J32" s="268">
        <f ca="1">+(SUMIF('Phase I Pro Forma'!$F$6:$Z$6,'Official Summary'!J$7,'Phase I Pro Forma'!$F$287:$Z$287)+SUMIF('Phase II Pro Forma'!$F$6:$Z$6,'Official Summary'!J$7,'Phase II Pro Forma'!$F$287:$Z$287)+SUMIF('Phase III Pro Forma'!$F$6:$Z$6,'Official Summary'!J$7,'Phase III Pro Forma'!$F$287:$Z$287))*(SUM(Budget!$N$35:$N$44)/SUM(Budget!$M$35:$U$44))</f>
        <v>48424960.576475963</v>
      </c>
      <c r="K32" s="268">
        <f ca="1">+(SUMIF('Phase I Pro Forma'!$F$6:$Z$6,'Official Summary'!K$7,'Phase I Pro Forma'!$F$287:$Z$287)+SUMIF('Phase II Pro Forma'!$F$6:$Z$6,'Official Summary'!K$7,'Phase II Pro Forma'!$F$287:$Z$287)+SUMIF('Phase III Pro Forma'!$F$6:$Z$6,'Official Summary'!K$7,'Phase III Pro Forma'!$F$287:$Z$287))*(SUM(Budget!$N$35:$N$44)/SUM(Budget!$M$35:$U$44))</f>
        <v>0</v>
      </c>
      <c r="L32" s="268">
        <f ca="1">+(SUMIF('Phase I Pro Forma'!$F$6:$Z$6,'Official Summary'!L$7,'Phase I Pro Forma'!$F$287:$Z$287)+SUMIF('Phase II Pro Forma'!$F$6:$Z$6,'Official Summary'!L$7,'Phase II Pro Forma'!$F$287:$Z$287)+SUMIF('Phase III Pro Forma'!$F$6:$Z$6,'Official Summary'!L$7,'Phase III Pro Forma'!$F$287:$Z$287))*(SUM(Budget!$N$35:$N$44)/SUM(Budget!$M$35:$U$44))</f>
        <v>0</v>
      </c>
      <c r="M32" s="268">
        <f ca="1">+(SUMIF('Phase I Pro Forma'!$F$6:$Z$6,'Official Summary'!M$7,'Phase I Pro Forma'!$F$287:$Z$287)+SUMIF('Phase II Pro Forma'!$F$6:$Z$6,'Official Summary'!M$7,'Phase II Pro Forma'!$F$287:$Z$287)+SUMIF('Phase III Pro Forma'!$F$6:$Z$6,'Official Summary'!M$7,'Phase III Pro Forma'!$F$287:$Z$287))*(SUM(Budget!$N$35:$N$44)/SUM(Budget!$M$35:$U$44))</f>
        <v>0</v>
      </c>
      <c r="N32" s="291">
        <f ca="1">+(SUMIF('Phase I Pro Forma'!$F$6:$Z$6,'Official Summary'!N$7,'Phase I Pro Forma'!$F$287:$Z$287)+SUMIF('Phase II Pro Forma'!$F$6:$Z$6,'Official Summary'!N$7,'Phase II Pro Forma'!$F$287:$Z$287)+SUMIF('Phase III Pro Forma'!$F$6:$Z$6,'Official Summary'!N$7,'Phase III Pro Forma'!$F$287:$Z$287))*(SUM(Budget!$N$35:$N$44)/SUM(Budget!$M$35:$U$44))</f>
        <v>0</v>
      </c>
    </row>
    <row r="33" spans="2:14" ht="19" customHeight="1" x14ac:dyDescent="0.35">
      <c r="B33" s="299" t="s">
        <v>432</v>
      </c>
      <c r="C33" s="299"/>
      <c r="D33" s="287" t="s">
        <v>497</v>
      </c>
      <c r="E33" s="262" t="s">
        <v>497</v>
      </c>
      <c r="F33" s="283" t="s">
        <v>497</v>
      </c>
      <c r="G33" s="262" t="s">
        <v>497</v>
      </c>
      <c r="H33" s="278" t="s">
        <v>497</v>
      </c>
      <c r="I33" s="262" t="s">
        <v>497</v>
      </c>
      <c r="J33" s="262" t="s">
        <v>497</v>
      </c>
      <c r="K33" s="262" t="s">
        <v>497</v>
      </c>
      <c r="L33" s="262" t="s">
        <v>497</v>
      </c>
      <c r="M33" s="262" t="s">
        <v>497</v>
      </c>
      <c r="N33" s="292" t="s">
        <v>497</v>
      </c>
    </row>
    <row r="34" spans="2:14" ht="19" customHeight="1" x14ac:dyDescent="0.35">
      <c r="B34" s="299" t="s">
        <v>429</v>
      </c>
      <c r="C34" s="299"/>
      <c r="D34" s="287" t="s">
        <v>497</v>
      </c>
      <c r="E34" s="262" t="s">
        <v>497</v>
      </c>
      <c r="F34" s="283" t="s">
        <v>497</v>
      </c>
      <c r="G34" s="262" t="s">
        <v>497</v>
      </c>
      <c r="H34" s="278" t="s">
        <v>497</v>
      </c>
      <c r="I34" s="262" t="s">
        <v>497</v>
      </c>
      <c r="J34" s="262" t="s">
        <v>497</v>
      </c>
      <c r="K34" s="262" t="s">
        <v>497</v>
      </c>
      <c r="L34" s="262" t="s">
        <v>497</v>
      </c>
      <c r="M34" s="262" t="s">
        <v>497</v>
      </c>
      <c r="N34" s="292" t="s">
        <v>497</v>
      </c>
    </row>
    <row r="35" spans="2:14" ht="19" customHeight="1" x14ac:dyDescent="0.35">
      <c r="B35" s="299" t="s">
        <v>430</v>
      </c>
      <c r="C35" s="300"/>
      <c r="D35" s="287">
        <f ca="1">+(SUMIF('Phase I Pro Forma'!$F$6:$Z$6,'Official Summary'!D$7,'Phase I Pro Forma'!$F$287:$Z$287)+SUMIF('Phase II Pro Forma'!$F$6:$Z$6,'Official Summary'!D$7,'Phase II Pro Forma'!$F$287:$Z$287)+SUMIF('Phase III Pro Forma'!$F$6:$Z$6,'Official Summary'!D$7,'Phase III Pro Forma'!$F$287:$Z$287))*(SUM(Budget!$M$35:$M$44)/SUM(Budget!$M$35:$U$44))</f>
        <v>12570.880922923778</v>
      </c>
      <c r="E35" s="262">
        <f ca="1">+(SUMIF('Phase I Pro Forma'!$F$6:$Z$6,'Official Summary'!E$7,'Phase I Pro Forma'!$F$287:$Z$287)+SUMIF('Phase II Pro Forma'!$F$6:$Z$6,'Official Summary'!E$7,'Phase II Pro Forma'!$F$287:$Z$287)+SUMIF('Phase III Pro Forma'!$F$6:$Z$6,'Official Summary'!E$7,'Phase III Pro Forma'!$F$287:$Z$287))*(SUM(Budget!$M$35:$M$44)/SUM(Budget!$M$35:$U$44))</f>
        <v>11687126.649864947</v>
      </c>
      <c r="F35" s="283">
        <f ca="1">+(SUMIF('Phase I Pro Forma'!$F$6:$Z$6,'Official Summary'!F$7,'Phase I Pro Forma'!$F$287:$Z$287)+SUMIF('Phase II Pro Forma'!$F$6:$Z$6,'Official Summary'!F$7,'Phase II Pro Forma'!$F$287:$Z$287)+SUMIF('Phase III Pro Forma'!$F$6:$Z$6,'Official Summary'!F$7,'Phase III Pro Forma'!$F$287:$Z$287))*(SUM(Budget!$M$35:$M$44)/SUM(Budget!$M$35:$U$44))</f>
        <v>11687126.649864947</v>
      </c>
      <c r="G35" s="262">
        <f ca="1">+(SUMIF('Phase I Pro Forma'!$F$6:$Z$6,'Official Summary'!G$7,'Phase I Pro Forma'!$F$287:$Z$287)+SUMIF('Phase II Pro Forma'!$F$6:$Z$6,'Official Summary'!G$7,'Phase II Pro Forma'!$F$287:$Z$287)+SUMIF('Phase III Pro Forma'!$F$6:$Z$6,'Official Summary'!G$7,'Phase III Pro Forma'!$F$287:$Z$287))*(SUM(Budget!$M$35:$M$44)/SUM(Budget!$M$35:$U$44))</f>
        <v>6841526.3421562584</v>
      </c>
      <c r="H35" s="278">
        <f ca="1">+(SUMIF('Phase I Pro Forma'!$F$6:$Z$6,'Official Summary'!H$7,'Phase I Pro Forma'!$F$287:$Z$287)+SUMIF('Phase II Pro Forma'!$F$6:$Z$6,'Official Summary'!H$7,'Phase II Pro Forma'!$F$287:$Z$287)+SUMIF('Phase III Pro Forma'!$F$6:$Z$6,'Official Summary'!H$7,'Phase III Pro Forma'!$F$287:$Z$287))*(SUM(Budget!$M$35:$M$44)/SUM(Budget!$M$35:$U$44))</f>
        <v>6841526.3421562584</v>
      </c>
      <c r="I35" s="262">
        <f ca="1">+(SUMIF('Phase I Pro Forma'!$F$6:$Z$6,'Official Summary'!I$7,'Phase I Pro Forma'!$F$287:$Z$287)+SUMIF('Phase II Pro Forma'!$F$6:$Z$6,'Official Summary'!I$7,'Phase II Pro Forma'!$F$287:$Z$287)+SUMIF('Phase III Pro Forma'!$F$6:$Z$6,'Official Summary'!I$7,'Phase III Pro Forma'!$F$287:$Z$287))*(SUM(Budget!$M$35:$M$44)/SUM(Budget!$M$35:$U$44))</f>
        <v>11433671.247223493</v>
      </c>
      <c r="J35" s="262">
        <f ca="1">+(SUMIF('Phase I Pro Forma'!$F$6:$Z$6,'Official Summary'!J$7,'Phase I Pro Forma'!$F$287:$Z$287)+SUMIF('Phase II Pro Forma'!$F$6:$Z$6,'Official Summary'!J$7,'Phase II Pro Forma'!$F$287:$Z$287)+SUMIF('Phase III Pro Forma'!$F$6:$Z$6,'Official Summary'!J$7,'Phase III Pro Forma'!$F$287:$Z$287))*(SUM(Budget!$M$35:$M$44)/SUM(Budget!$M$35:$U$44))</f>
        <v>11433671.247223493</v>
      </c>
      <c r="K35" s="262">
        <f ca="1">+(SUMIF('Phase I Pro Forma'!$F$6:$Z$6,'Official Summary'!K$7,'Phase I Pro Forma'!$F$287:$Z$287)+SUMIF('Phase II Pro Forma'!$F$6:$Z$6,'Official Summary'!K$7,'Phase II Pro Forma'!$F$287:$Z$287)+SUMIF('Phase III Pro Forma'!$F$6:$Z$6,'Official Summary'!K$7,'Phase III Pro Forma'!$F$287:$Z$287))*(SUM(Budget!$M$35:$M$44)/SUM(Budget!$M$35:$U$44))</f>
        <v>0</v>
      </c>
      <c r="L35" s="262">
        <f ca="1">+(SUMIF('Phase I Pro Forma'!$F$6:$Z$6,'Official Summary'!L$7,'Phase I Pro Forma'!$F$287:$Z$287)+SUMIF('Phase II Pro Forma'!$F$6:$Z$6,'Official Summary'!L$7,'Phase II Pro Forma'!$F$287:$Z$287)+SUMIF('Phase III Pro Forma'!$F$6:$Z$6,'Official Summary'!L$7,'Phase III Pro Forma'!$F$287:$Z$287))*(SUM(Budget!$M$35:$M$44)/SUM(Budget!$M$35:$U$44))</f>
        <v>0</v>
      </c>
      <c r="M35" s="262">
        <f ca="1">+(SUMIF('Phase I Pro Forma'!$F$6:$Z$6,'Official Summary'!M$7,'Phase I Pro Forma'!$F$287:$Z$287)+SUMIF('Phase II Pro Forma'!$F$6:$Z$6,'Official Summary'!M$7,'Phase II Pro Forma'!$F$287:$Z$287)+SUMIF('Phase III Pro Forma'!$F$6:$Z$6,'Official Summary'!M$7,'Phase III Pro Forma'!$F$287:$Z$287))*(SUM(Budget!$M$35:$M$44)/SUM(Budget!$M$35:$U$44))</f>
        <v>0</v>
      </c>
      <c r="N35" s="292">
        <f ca="1">+(SUMIF('Phase I Pro Forma'!$F$6:$Z$6,'Official Summary'!N$7,'Phase I Pro Forma'!$F$287:$Z$287)+SUMIF('Phase II Pro Forma'!$F$6:$Z$6,'Official Summary'!N$7,'Phase II Pro Forma'!$F$287:$Z$287)+SUMIF('Phase III Pro Forma'!$F$6:$Z$6,'Official Summary'!N$7,'Phase III Pro Forma'!$F$287:$Z$287))*(SUM(Budget!$M$35:$M$44)/SUM(Budget!$M$35:$U$44))</f>
        <v>0</v>
      </c>
    </row>
    <row r="36" spans="2:14" ht="19" customHeight="1" x14ac:dyDescent="0.35">
      <c r="B36" s="299" t="s">
        <v>431</v>
      </c>
      <c r="C36" s="300"/>
      <c r="D36" s="287" t="s">
        <v>497</v>
      </c>
      <c r="E36" s="262" t="s">
        <v>497</v>
      </c>
      <c r="F36" s="283" t="s">
        <v>497</v>
      </c>
      <c r="G36" s="262" t="s">
        <v>497</v>
      </c>
      <c r="H36" s="278" t="s">
        <v>497</v>
      </c>
      <c r="I36" s="262" t="s">
        <v>497</v>
      </c>
      <c r="J36" s="262" t="s">
        <v>497</v>
      </c>
      <c r="K36" s="262" t="s">
        <v>497</v>
      </c>
      <c r="L36" s="262" t="s">
        <v>497</v>
      </c>
      <c r="M36" s="262" t="s">
        <v>497</v>
      </c>
      <c r="N36" s="292" t="s">
        <v>497</v>
      </c>
    </row>
    <row r="37" spans="2:14" ht="19" customHeight="1" x14ac:dyDescent="0.35">
      <c r="B37" s="341" t="s">
        <v>24</v>
      </c>
      <c r="C37" s="340"/>
      <c r="D37" s="287">
        <f ca="1">+(SUMIF('Phase I Pro Forma'!$F$6:$Z$6,'Official Summary'!D$7,'Phase I Pro Forma'!$F$287:$Z$287)+SUMIF('Phase II Pro Forma'!$F$6:$Z$6,'Official Summary'!D$7,'Phase II Pro Forma'!$F$287:$Z$287)+SUMIF('Phase III Pro Forma'!$F$6:$Z$6,'Official Summary'!D$7,'Phase III Pro Forma'!$F$287:$Z$287))*(SUM(Budget!$R$35:$R$44)/SUM(Budget!$M$35:$U$44))</f>
        <v>46326.041347642611</v>
      </c>
      <c r="E37" s="262">
        <f ca="1">+(SUMIF('Phase I Pro Forma'!$F$6:$Z$6,'Official Summary'!E$7,'Phase I Pro Forma'!$F$287:$Z$287)+SUMIF('Phase II Pro Forma'!$F$6:$Z$6,'Official Summary'!E$7,'Phase II Pro Forma'!$F$287:$Z$287)+SUMIF('Phase III Pro Forma'!$F$6:$Z$6,'Official Summary'!E$7,'Phase III Pro Forma'!$F$287:$Z$287))*(SUM(Budget!$R$35:$R$44)/SUM(Budget!$M$35:$U$44))</f>
        <v>43069241.983628184</v>
      </c>
      <c r="F37" s="283">
        <f ca="1">+(SUMIF('Phase I Pro Forma'!$F$6:$Z$6,'Official Summary'!F$7,'Phase I Pro Forma'!$F$287:$Z$287)+SUMIF('Phase II Pro Forma'!$F$6:$Z$6,'Official Summary'!F$7,'Phase II Pro Forma'!$F$287:$Z$287)+SUMIF('Phase III Pro Forma'!$F$6:$Z$6,'Official Summary'!F$7,'Phase III Pro Forma'!$F$287:$Z$287))*(SUM(Budget!$R$35:$R$44)/SUM(Budget!$M$35:$U$44))</f>
        <v>43069241.983628184</v>
      </c>
      <c r="G37" s="262">
        <f ca="1">+(SUMIF('Phase I Pro Forma'!$F$6:$Z$6,'Official Summary'!G$7,'Phase I Pro Forma'!$F$287:$Z$287)+SUMIF('Phase II Pro Forma'!$F$6:$Z$6,'Official Summary'!G$7,'Phase II Pro Forma'!$F$287:$Z$287)+SUMIF('Phase III Pro Forma'!$F$6:$Z$6,'Official Summary'!G$7,'Phase III Pro Forma'!$F$287:$Z$287))*(SUM(Budget!$R$35:$R$44)/SUM(Budget!$M$35:$U$44))</f>
        <v>25212300.884161249</v>
      </c>
      <c r="H37" s="278">
        <f ca="1">+(SUMIF('Phase I Pro Forma'!$F$6:$Z$6,'Official Summary'!H$7,'Phase I Pro Forma'!$F$287:$Z$287)+SUMIF('Phase II Pro Forma'!$F$6:$Z$6,'Official Summary'!H$7,'Phase II Pro Forma'!$F$287:$Z$287)+SUMIF('Phase III Pro Forma'!$F$6:$Z$6,'Official Summary'!H$7,'Phase III Pro Forma'!$F$287:$Z$287))*(SUM(Budget!$R$35:$R$44)/SUM(Budget!$M$35:$U$44))</f>
        <v>25212300.884161249</v>
      </c>
      <c r="I37" s="262">
        <f ca="1">+(SUMIF('Phase I Pro Forma'!$F$6:$Z$6,'Official Summary'!I$7,'Phase I Pro Forma'!$F$287:$Z$287)+SUMIF('Phase II Pro Forma'!$F$6:$Z$6,'Official Summary'!I$7,'Phase II Pro Forma'!$F$287:$Z$287)+SUMIF('Phase III Pro Forma'!$F$6:$Z$6,'Official Summary'!I$7,'Phase III Pro Forma'!$F$287:$Z$287))*(SUM(Budget!$R$35:$R$44)/SUM(Budget!$M$35:$U$44))</f>
        <v>42135211.5418045</v>
      </c>
      <c r="J37" s="262">
        <f ca="1">+(SUMIF('Phase I Pro Forma'!$F$6:$Z$6,'Official Summary'!J$7,'Phase I Pro Forma'!$F$287:$Z$287)+SUMIF('Phase II Pro Forma'!$F$6:$Z$6,'Official Summary'!J$7,'Phase II Pro Forma'!$F$287:$Z$287)+SUMIF('Phase III Pro Forma'!$F$6:$Z$6,'Official Summary'!J$7,'Phase III Pro Forma'!$F$287:$Z$287))*(SUM(Budget!$R$35:$R$44)/SUM(Budget!$M$35:$U$44))</f>
        <v>42135211.5418045</v>
      </c>
      <c r="K37" s="262">
        <f ca="1">+(SUMIF('Phase I Pro Forma'!$F$6:$Z$6,'Official Summary'!K$7,'Phase I Pro Forma'!$F$287:$Z$287)+SUMIF('Phase II Pro Forma'!$F$6:$Z$6,'Official Summary'!K$7,'Phase II Pro Forma'!$F$287:$Z$287)+SUMIF('Phase III Pro Forma'!$F$6:$Z$6,'Official Summary'!K$7,'Phase III Pro Forma'!$F$287:$Z$287))*(SUM(Budget!$R$35:$R$44)/SUM(Budget!$M$35:$U$44))</f>
        <v>0</v>
      </c>
      <c r="L37" s="262">
        <f ca="1">+(SUMIF('Phase I Pro Forma'!$F$6:$Z$6,'Official Summary'!L$7,'Phase I Pro Forma'!$F$287:$Z$287)+SUMIF('Phase II Pro Forma'!$F$6:$Z$6,'Official Summary'!L$7,'Phase II Pro Forma'!$F$287:$Z$287)+SUMIF('Phase III Pro Forma'!$F$6:$Z$6,'Official Summary'!L$7,'Phase III Pro Forma'!$F$287:$Z$287))*(SUM(Budget!$R$35:$R$44)/SUM(Budget!$M$35:$U$44))</f>
        <v>0</v>
      </c>
      <c r="M37" s="262">
        <f ca="1">+(SUMIF('Phase I Pro Forma'!$F$6:$Z$6,'Official Summary'!M$7,'Phase I Pro Forma'!$F$287:$Z$287)+SUMIF('Phase II Pro Forma'!$F$6:$Z$6,'Official Summary'!M$7,'Phase II Pro Forma'!$F$287:$Z$287)+SUMIF('Phase III Pro Forma'!$F$6:$Z$6,'Official Summary'!M$7,'Phase III Pro Forma'!$F$287:$Z$287))*(SUM(Budget!$R$35:$R$44)/SUM(Budget!$M$35:$U$44))</f>
        <v>0</v>
      </c>
      <c r="N37" s="292">
        <f ca="1">+(SUMIF('Phase I Pro Forma'!$F$6:$Z$6,'Official Summary'!N$7,'Phase I Pro Forma'!$F$287:$Z$287)+SUMIF('Phase II Pro Forma'!$F$6:$Z$6,'Official Summary'!N$7,'Phase II Pro Forma'!$F$287:$Z$287)+SUMIF('Phase III Pro Forma'!$F$6:$Z$6,'Official Summary'!N$7,'Phase III Pro Forma'!$F$287:$Z$287))*(SUM(Budget!$R$35:$R$44)/SUM(Budget!$M$35:$U$44))</f>
        <v>0</v>
      </c>
    </row>
    <row r="38" spans="2:14" ht="19" customHeight="1" x14ac:dyDescent="0.35">
      <c r="B38" s="341" t="s">
        <v>25</v>
      </c>
      <c r="C38" s="341"/>
      <c r="D38" s="287">
        <f ca="1">+(SUMIF('Phase I Pro Forma'!$F$6:$Z$6,'Official Summary'!D$7,'Phase I Pro Forma'!$F$287:$Z$287)+SUMIF('Phase II Pro Forma'!$F$6:$Z$6,'Official Summary'!D$7,'Phase II Pro Forma'!$F$287:$Z$287)+SUMIF('Phase III Pro Forma'!$F$6:$Z$6,'Official Summary'!D$7,'Phase III Pro Forma'!$F$287:$Z$287))*(SUM(Budget!$O$35:$O$44)/SUM(Budget!$M$35:$U$44))</f>
        <v>17786.18450777476</v>
      </c>
      <c r="E38" s="262">
        <f ca="1">+(SUMIF('Phase I Pro Forma'!$F$6:$Z$6,'Official Summary'!E$7,'Phase I Pro Forma'!$F$287:$Z$287)+SUMIF('Phase II Pro Forma'!$F$6:$Z$6,'Official Summary'!E$7,'Phase II Pro Forma'!$F$287:$Z$287)+SUMIF('Phase III Pro Forma'!$F$6:$Z$6,'Official Summary'!E$7,'Phase III Pro Forma'!$F$287:$Z$287))*(SUM(Budget!$O$35:$O$44)/SUM(Budget!$M$35:$U$44))</f>
        <v>16535785.537604352</v>
      </c>
      <c r="F38" s="283">
        <f ca="1">+(SUMIF('Phase I Pro Forma'!$F$6:$Z$6,'Official Summary'!F$7,'Phase I Pro Forma'!$F$287:$Z$287)+SUMIF('Phase II Pro Forma'!$F$6:$Z$6,'Official Summary'!F$7,'Phase II Pro Forma'!$F$287:$Z$287)+SUMIF('Phase III Pro Forma'!$F$6:$Z$6,'Official Summary'!F$7,'Phase III Pro Forma'!$F$287:$Z$287))*(SUM(Budget!$O$35:$O$44)/SUM(Budget!$M$35:$U$44))</f>
        <v>16535785.537604352</v>
      </c>
      <c r="G38" s="262">
        <f ca="1">+(SUMIF('Phase I Pro Forma'!$F$6:$Z$6,'Official Summary'!G$7,'Phase I Pro Forma'!$F$287:$Z$287)+SUMIF('Phase II Pro Forma'!$F$6:$Z$6,'Official Summary'!G$7,'Phase II Pro Forma'!$F$287:$Z$287)+SUMIF('Phase III Pro Forma'!$F$6:$Z$6,'Official Summary'!G$7,'Phase III Pro Forma'!$F$287:$Z$287))*(SUM(Budget!$O$35:$O$44)/SUM(Budget!$M$35:$U$44))</f>
        <v>9679882.4666689113</v>
      </c>
      <c r="H38" s="278">
        <f ca="1">+(SUMIF('Phase I Pro Forma'!$F$6:$Z$6,'Official Summary'!H$7,'Phase I Pro Forma'!$F$287:$Z$287)+SUMIF('Phase II Pro Forma'!$F$6:$Z$6,'Official Summary'!H$7,'Phase II Pro Forma'!$F$287:$Z$287)+SUMIF('Phase III Pro Forma'!$F$6:$Z$6,'Official Summary'!H$7,'Phase III Pro Forma'!$F$287:$Z$287))*(SUM(Budget!$O$35:$O$44)/SUM(Budget!$M$35:$U$44))</f>
        <v>9679882.4666689113</v>
      </c>
      <c r="I38" s="262">
        <f ca="1">+(SUMIF('Phase I Pro Forma'!$F$6:$Z$6,'Official Summary'!I$7,'Phase I Pro Forma'!$F$287:$Z$287)+SUMIF('Phase II Pro Forma'!$F$6:$Z$6,'Official Summary'!I$7,'Phase II Pro Forma'!$F$287:$Z$287)+SUMIF('Phase III Pro Forma'!$F$6:$Z$6,'Official Summary'!I$7,'Phase III Pro Forma'!$F$287:$Z$287))*(SUM(Budget!$O$35:$O$44)/SUM(Budget!$M$35:$U$44))</f>
        <v>16177178.644140536</v>
      </c>
      <c r="J38" s="262">
        <f ca="1">+(SUMIF('Phase I Pro Forma'!$F$6:$Z$6,'Official Summary'!J$7,'Phase I Pro Forma'!$F$287:$Z$287)+SUMIF('Phase II Pro Forma'!$F$6:$Z$6,'Official Summary'!J$7,'Phase II Pro Forma'!$F$287:$Z$287)+SUMIF('Phase III Pro Forma'!$F$6:$Z$6,'Official Summary'!J$7,'Phase III Pro Forma'!$F$287:$Z$287))*(SUM(Budget!$O$35:$O$44)/SUM(Budget!$M$35:$U$44))</f>
        <v>16177178.644140536</v>
      </c>
      <c r="K38" s="262">
        <f ca="1">+(SUMIF('Phase I Pro Forma'!$F$6:$Z$6,'Official Summary'!K$7,'Phase I Pro Forma'!$F$287:$Z$287)+SUMIF('Phase II Pro Forma'!$F$6:$Z$6,'Official Summary'!K$7,'Phase II Pro Forma'!$F$287:$Z$287)+SUMIF('Phase III Pro Forma'!$F$6:$Z$6,'Official Summary'!K$7,'Phase III Pro Forma'!$F$287:$Z$287))*(SUM(Budget!$O$35:$O$44)/SUM(Budget!$M$35:$U$44))</f>
        <v>0</v>
      </c>
      <c r="L38" s="262">
        <f ca="1">+(SUMIF('Phase I Pro Forma'!$F$6:$Z$6,'Official Summary'!L$7,'Phase I Pro Forma'!$F$287:$Z$287)+SUMIF('Phase II Pro Forma'!$F$6:$Z$6,'Official Summary'!L$7,'Phase II Pro Forma'!$F$287:$Z$287)+SUMIF('Phase III Pro Forma'!$F$6:$Z$6,'Official Summary'!L$7,'Phase III Pro Forma'!$F$287:$Z$287))*(SUM(Budget!$O$35:$O$44)/SUM(Budget!$M$35:$U$44))</f>
        <v>0</v>
      </c>
      <c r="M38" s="262">
        <f ca="1">+(SUMIF('Phase I Pro Forma'!$F$6:$Z$6,'Official Summary'!M$7,'Phase I Pro Forma'!$F$287:$Z$287)+SUMIF('Phase II Pro Forma'!$F$6:$Z$6,'Official Summary'!M$7,'Phase II Pro Forma'!$F$287:$Z$287)+SUMIF('Phase III Pro Forma'!$F$6:$Z$6,'Official Summary'!M$7,'Phase III Pro Forma'!$F$287:$Z$287))*(SUM(Budget!$O$35:$O$44)/SUM(Budget!$M$35:$U$44))</f>
        <v>0</v>
      </c>
      <c r="N38" s="292">
        <f ca="1">+(SUMIF('Phase I Pro Forma'!$F$6:$Z$6,'Official Summary'!N$7,'Phase I Pro Forma'!$F$287:$Z$287)+SUMIF('Phase II Pro Forma'!$F$6:$Z$6,'Official Summary'!N$7,'Phase II Pro Forma'!$F$287:$Z$287)+SUMIF('Phase III Pro Forma'!$F$6:$Z$6,'Official Summary'!N$7,'Phase III Pro Forma'!$F$287:$Z$287))*(SUM(Budget!$O$35:$O$44)/SUM(Budget!$M$35:$U$44))</f>
        <v>0</v>
      </c>
    </row>
    <row r="39" spans="2:14" ht="19" customHeight="1" x14ac:dyDescent="0.35">
      <c r="B39" s="300" t="s">
        <v>147</v>
      </c>
      <c r="C39" s="301"/>
      <c r="D39" s="287">
        <f ca="1">+(SUMIF('Phase I Pro Forma'!$F$6:$Z$6,'Official Summary'!D$7,'Phase I Pro Forma'!$F$287:$Z$287)+SUMIF('Phase II Pro Forma'!$F$6:$Z$6,'Official Summary'!D$7,'Phase II Pro Forma'!$F$287:$Z$287)+SUMIF('Phase III Pro Forma'!$F$6:$Z$6,'Official Summary'!D$7,'Phase III Pro Forma'!$F$287:$Z$287))*(SUM(Budget!$Q$35:$Q$44)/SUM(Budget!$M$35:$U$44))</f>
        <v>5952.5038075758366</v>
      </c>
      <c r="E39" s="262">
        <f ca="1">+(SUMIF('Phase I Pro Forma'!$F$6:$Z$6,'Official Summary'!E$7,'Phase I Pro Forma'!$F$287:$Z$287)+SUMIF('Phase II Pro Forma'!$F$6:$Z$6,'Official Summary'!E$7,'Phase II Pro Forma'!$F$287:$Z$287)+SUMIF('Phase III Pro Forma'!$F$6:$Z$6,'Official Summary'!E$7,'Phase III Pro Forma'!$F$287:$Z$287))*(SUM(Budget!$Q$35:$Q$44)/SUM(Budget!$M$35:$U$44))</f>
        <v>5534032.6831098357</v>
      </c>
      <c r="F39" s="283">
        <f ca="1">+(SUMIF('Phase I Pro Forma'!$F$6:$Z$6,'Official Summary'!F$7,'Phase I Pro Forma'!$F$287:$Z$287)+SUMIF('Phase II Pro Forma'!$F$6:$Z$6,'Official Summary'!F$7,'Phase II Pro Forma'!$F$287:$Z$287)+SUMIF('Phase III Pro Forma'!$F$6:$Z$6,'Official Summary'!F$7,'Phase III Pro Forma'!$F$287:$Z$287))*(SUM(Budget!$Q$35:$Q$44)/SUM(Budget!$M$35:$U$44))</f>
        <v>5534032.6831098357</v>
      </c>
      <c r="G39" s="262">
        <f ca="1">+(SUMIF('Phase I Pro Forma'!$F$6:$Z$6,'Official Summary'!G$7,'Phase I Pro Forma'!$F$287:$Z$287)+SUMIF('Phase II Pro Forma'!$F$6:$Z$6,'Official Summary'!G$7,'Phase II Pro Forma'!$F$287:$Z$287)+SUMIF('Phase III Pro Forma'!$F$6:$Z$6,'Official Summary'!G$7,'Phase III Pro Forma'!$F$287:$Z$287))*(SUM(Budget!$Q$35:$Q$44)/SUM(Budget!$M$35:$U$44))</f>
        <v>3239567.0479268003</v>
      </c>
      <c r="H39" s="278">
        <f ca="1">+(SUMIF('Phase I Pro Forma'!$F$6:$Z$6,'Official Summary'!H$7,'Phase I Pro Forma'!$F$287:$Z$287)+SUMIF('Phase II Pro Forma'!$F$6:$Z$6,'Official Summary'!H$7,'Phase II Pro Forma'!$F$287:$Z$287)+SUMIF('Phase III Pro Forma'!$F$6:$Z$6,'Official Summary'!H$7,'Phase III Pro Forma'!$F$287:$Z$287))*(SUM(Budget!$Q$35:$Q$44)/SUM(Budget!$M$35:$U$44))</f>
        <v>3239567.0479268003</v>
      </c>
      <c r="I39" s="262">
        <f ca="1">+(SUMIF('Phase I Pro Forma'!$F$6:$Z$6,'Official Summary'!I$7,'Phase I Pro Forma'!$F$287:$Z$287)+SUMIF('Phase II Pro Forma'!$F$6:$Z$6,'Official Summary'!I$7,'Phase II Pro Forma'!$F$287:$Z$287)+SUMIF('Phase III Pro Forma'!$F$6:$Z$6,'Official Summary'!I$7,'Phase III Pro Forma'!$F$287:$Z$287))*(SUM(Budget!$Q$35:$Q$44)/SUM(Budget!$M$35:$U$44))</f>
        <v>5414017.6850739606</v>
      </c>
      <c r="J39" s="262">
        <f ca="1">+(SUMIF('Phase I Pro Forma'!$F$6:$Z$6,'Official Summary'!J$7,'Phase I Pro Forma'!$F$287:$Z$287)+SUMIF('Phase II Pro Forma'!$F$6:$Z$6,'Official Summary'!J$7,'Phase II Pro Forma'!$F$287:$Z$287)+SUMIF('Phase III Pro Forma'!$F$6:$Z$6,'Official Summary'!J$7,'Phase III Pro Forma'!$F$287:$Z$287))*(SUM(Budget!$Q$35:$Q$44)/SUM(Budget!$M$35:$U$44))</f>
        <v>5414017.6850739606</v>
      </c>
      <c r="K39" s="262">
        <f ca="1">+(SUMIF('Phase I Pro Forma'!$F$6:$Z$6,'Official Summary'!K$7,'Phase I Pro Forma'!$F$287:$Z$287)+SUMIF('Phase II Pro Forma'!$F$6:$Z$6,'Official Summary'!K$7,'Phase II Pro Forma'!$F$287:$Z$287)+SUMIF('Phase III Pro Forma'!$F$6:$Z$6,'Official Summary'!K$7,'Phase III Pro Forma'!$F$287:$Z$287))*(SUM(Budget!$Q$35:$Q$44)/SUM(Budget!$M$35:$U$44))</f>
        <v>0</v>
      </c>
      <c r="L39" s="262">
        <f ca="1">+(SUMIF('Phase I Pro Forma'!$F$6:$Z$6,'Official Summary'!L$7,'Phase I Pro Forma'!$F$287:$Z$287)+SUMIF('Phase II Pro Forma'!$F$6:$Z$6,'Official Summary'!L$7,'Phase II Pro Forma'!$F$287:$Z$287)+SUMIF('Phase III Pro Forma'!$F$6:$Z$6,'Official Summary'!L$7,'Phase III Pro Forma'!$F$287:$Z$287))*(SUM(Budget!$Q$35:$Q$44)/SUM(Budget!$M$35:$U$44))</f>
        <v>0</v>
      </c>
      <c r="M39" s="262">
        <f ca="1">+(SUMIF('Phase I Pro Forma'!$F$6:$Z$6,'Official Summary'!M$7,'Phase I Pro Forma'!$F$287:$Z$287)+SUMIF('Phase II Pro Forma'!$F$6:$Z$6,'Official Summary'!M$7,'Phase II Pro Forma'!$F$287:$Z$287)+SUMIF('Phase III Pro Forma'!$F$6:$Z$6,'Official Summary'!M$7,'Phase III Pro Forma'!$F$287:$Z$287))*(SUM(Budget!$Q$35:$Q$44)/SUM(Budget!$M$35:$U$44))</f>
        <v>0</v>
      </c>
      <c r="N39" s="292">
        <f ca="1">+(SUMIF('Phase I Pro Forma'!$F$6:$Z$6,'Official Summary'!N$7,'Phase I Pro Forma'!$F$287:$Z$287)+SUMIF('Phase II Pro Forma'!$F$6:$Z$6,'Official Summary'!N$7,'Phase II Pro Forma'!$F$287:$Z$287)+SUMIF('Phase III Pro Forma'!$F$6:$Z$6,'Official Summary'!N$7,'Phase III Pro Forma'!$F$287:$Z$287))*(SUM(Budget!$Q$35:$Q$44)/SUM(Budget!$M$35:$U$44))</f>
        <v>0</v>
      </c>
    </row>
    <row r="40" spans="2:14" ht="19" customHeight="1" x14ac:dyDescent="0.35">
      <c r="B40" s="300" t="s">
        <v>26</v>
      </c>
      <c r="C40" s="300"/>
      <c r="D40" s="287">
        <f ca="1">+(SUMIF('Phase I Pro Forma'!$F$6:$Z$6,'Official Summary'!D$7,'Phase I Pro Forma'!$F$287:$Z$287)+SUMIF('Phase II Pro Forma'!$F$6:$Z$6,'Official Summary'!D$7,'Phase II Pro Forma'!$F$287:$Z$287)+SUMIF('Phase III Pro Forma'!$F$6:$Z$6,'Official Summary'!D$7,'Phase III Pro Forma'!$F$287:$Z$287))*(SUM(Budget!$P$35:$P$44)/SUM(Budget!$M$35:$U$44))</f>
        <v>14910.910320515861</v>
      </c>
      <c r="E40" s="262">
        <f ca="1">+(SUMIF('Phase I Pro Forma'!$F$6:$Z$6,'Official Summary'!E$7,'Phase I Pro Forma'!$F$287:$Z$287)+SUMIF('Phase II Pro Forma'!$F$6:$Z$6,'Official Summary'!E$7,'Phase II Pro Forma'!$F$287:$Z$287)+SUMIF('Phase III Pro Forma'!$F$6:$Z$6,'Official Summary'!E$7,'Phase III Pro Forma'!$F$287:$Z$287))*(SUM(Budget!$P$35:$P$44)/SUM(Budget!$M$35:$U$44))</f>
        <v>13862648.007655766</v>
      </c>
      <c r="F40" s="283">
        <f ca="1">+(SUMIF('Phase I Pro Forma'!$F$6:$Z$6,'Official Summary'!F$7,'Phase I Pro Forma'!$F$287:$Z$287)+SUMIF('Phase II Pro Forma'!$F$6:$Z$6,'Official Summary'!F$7,'Phase II Pro Forma'!$F$287:$Z$287)+SUMIF('Phase III Pro Forma'!$F$6:$Z$6,'Official Summary'!F$7,'Phase III Pro Forma'!$F$287:$Z$287))*(SUM(Budget!$P$35:$P$44)/SUM(Budget!$M$35:$U$44))</f>
        <v>13862648.007655766</v>
      </c>
      <c r="G40" s="262">
        <f ca="1">+(SUMIF('Phase I Pro Forma'!$F$6:$Z$6,'Official Summary'!G$7,'Phase I Pro Forma'!$F$287:$Z$287)+SUMIF('Phase II Pro Forma'!$F$6:$Z$6,'Official Summary'!G$7,'Phase II Pro Forma'!$F$287:$Z$287)+SUMIF('Phase III Pro Forma'!$F$6:$Z$6,'Official Summary'!G$7,'Phase III Pro Forma'!$F$287:$Z$287))*(SUM(Budget!$P$35:$P$44)/SUM(Budget!$M$35:$U$44))</f>
        <v>8115054.6543887127</v>
      </c>
      <c r="H40" s="278">
        <f ca="1">+(SUMIF('Phase I Pro Forma'!$F$6:$Z$6,'Official Summary'!H$7,'Phase I Pro Forma'!$F$287:$Z$287)+SUMIF('Phase II Pro Forma'!$F$6:$Z$6,'Official Summary'!H$7,'Phase II Pro Forma'!$F$287:$Z$287)+SUMIF('Phase III Pro Forma'!$F$6:$Z$6,'Official Summary'!H$7,'Phase III Pro Forma'!$F$287:$Z$287))*(SUM(Budget!$P$35:$P$44)/SUM(Budget!$M$35:$U$44))</f>
        <v>8115054.6543887127</v>
      </c>
      <c r="I40" s="262">
        <f ca="1">+(SUMIF('Phase I Pro Forma'!$F$6:$Z$6,'Official Summary'!I$7,'Phase I Pro Forma'!$F$287:$Z$287)+SUMIF('Phase II Pro Forma'!$F$6:$Z$6,'Official Summary'!I$7,'Phase II Pro Forma'!$F$287:$Z$287)+SUMIF('Phase III Pro Forma'!$F$6:$Z$6,'Official Summary'!I$7,'Phase III Pro Forma'!$F$287:$Z$287))*(SUM(Budget!$P$35:$P$44)/SUM(Budget!$M$35:$U$44))</f>
        <v>13562012.690034924</v>
      </c>
      <c r="J40" s="262">
        <f ca="1">+(SUMIF('Phase I Pro Forma'!$F$6:$Z$6,'Official Summary'!J$7,'Phase I Pro Forma'!$F$287:$Z$287)+SUMIF('Phase II Pro Forma'!$F$6:$Z$6,'Official Summary'!J$7,'Phase II Pro Forma'!$F$287:$Z$287)+SUMIF('Phase III Pro Forma'!$F$6:$Z$6,'Official Summary'!J$7,'Phase III Pro Forma'!$F$287:$Z$287))*(SUM(Budget!$P$35:$P$44)/SUM(Budget!$M$35:$U$44))</f>
        <v>13562012.690034924</v>
      </c>
      <c r="K40" s="262">
        <f ca="1">+(SUMIF('Phase I Pro Forma'!$F$6:$Z$6,'Official Summary'!K$7,'Phase I Pro Forma'!$F$287:$Z$287)+SUMIF('Phase II Pro Forma'!$F$6:$Z$6,'Official Summary'!K$7,'Phase II Pro Forma'!$F$287:$Z$287)+SUMIF('Phase III Pro Forma'!$F$6:$Z$6,'Official Summary'!K$7,'Phase III Pro Forma'!$F$287:$Z$287))*(SUM(Budget!$P$35:$P$44)/SUM(Budget!$M$35:$U$44))</f>
        <v>0</v>
      </c>
      <c r="L40" s="262">
        <f ca="1">+(SUMIF('Phase I Pro Forma'!$F$6:$Z$6,'Official Summary'!L$7,'Phase I Pro Forma'!$F$287:$Z$287)+SUMIF('Phase II Pro Forma'!$F$6:$Z$6,'Official Summary'!L$7,'Phase II Pro Forma'!$F$287:$Z$287)+SUMIF('Phase III Pro Forma'!$F$6:$Z$6,'Official Summary'!L$7,'Phase III Pro Forma'!$F$287:$Z$287))*(SUM(Budget!$P$35:$P$44)/SUM(Budget!$M$35:$U$44))</f>
        <v>0</v>
      </c>
      <c r="M40" s="262">
        <f ca="1">+(SUMIF('Phase I Pro Forma'!$F$6:$Z$6,'Official Summary'!M$7,'Phase I Pro Forma'!$F$287:$Z$287)+SUMIF('Phase II Pro Forma'!$F$6:$Z$6,'Official Summary'!M$7,'Phase II Pro Forma'!$F$287:$Z$287)+SUMIF('Phase III Pro Forma'!$F$6:$Z$6,'Official Summary'!M$7,'Phase III Pro Forma'!$F$287:$Z$287))*(SUM(Budget!$P$35:$P$44)/SUM(Budget!$M$35:$U$44))</f>
        <v>0</v>
      </c>
      <c r="N40" s="292">
        <f ca="1">+(SUMIF('Phase I Pro Forma'!$F$6:$Z$6,'Official Summary'!N$7,'Phase I Pro Forma'!$F$287:$Z$287)+SUMIF('Phase II Pro Forma'!$F$6:$Z$6,'Official Summary'!N$7,'Phase II Pro Forma'!$F$287:$Z$287)+SUMIF('Phase III Pro Forma'!$F$6:$Z$6,'Official Summary'!N$7,'Phase III Pro Forma'!$F$287:$Z$287))*(SUM(Budget!$P$35:$P$44)/SUM(Budget!$M$35:$U$44))</f>
        <v>0</v>
      </c>
    </row>
    <row r="41" spans="2:14" ht="19" customHeight="1" x14ac:dyDescent="0.35">
      <c r="B41" s="300" t="s">
        <v>27</v>
      </c>
      <c r="C41" s="300"/>
      <c r="D41" s="287">
        <f ca="1">+(SUMIF('Phase I Pro Forma'!$F$6:$Z$6,'Official Summary'!D$7,'Phase I Pro Forma'!$F$287:$Z$287)+SUMIF('Phase II Pro Forma'!$F$6:$Z$6,'Official Summary'!D$7,'Phase II Pro Forma'!$F$287:$Z$287)+SUMIF('Phase III Pro Forma'!$F$6:$Z$6,'Official Summary'!D$7,'Phase III Pro Forma'!$F$287:$Z$287))*(SUM(Budget!$T$35:$T$44)/SUM(Budget!$M$35:$U$44))</f>
        <v>2700.9050187796192</v>
      </c>
      <c r="E41" s="262">
        <f ca="1">+(SUMIF('Phase I Pro Forma'!$F$6:$Z$6,'Official Summary'!E$7,'Phase I Pro Forma'!$F$287:$Z$287)+SUMIF('Phase II Pro Forma'!$F$6:$Z$6,'Official Summary'!E$7,'Phase II Pro Forma'!$F$287:$Z$287)+SUMIF('Phase III Pro Forma'!$F$6:$Z$6,'Official Summary'!E$7,'Phase III Pro Forma'!$F$287:$Z$287))*(SUM(Budget!$T$35:$T$44)/SUM(Budget!$M$35:$U$44))</f>
        <v>2511026.8100758996</v>
      </c>
      <c r="F41" s="283">
        <f ca="1">+(SUMIF('Phase I Pro Forma'!$F$6:$Z$6,'Official Summary'!F$7,'Phase I Pro Forma'!$F$287:$Z$287)+SUMIF('Phase II Pro Forma'!$F$6:$Z$6,'Official Summary'!F$7,'Phase II Pro Forma'!$F$287:$Z$287)+SUMIF('Phase III Pro Forma'!$F$6:$Z$6,'Official Summary'!F$7,'Phase III Pro Forma'!$F$287:$Z$287))*(SUM(Budget!$T$35:$T$44)/SUM(Budget!$M$35:$U$44))</f>
        <v>2511026.8100758996</v>
      </c>
      <c r="G41" s="262">
        <f ca="1">+(SUMIF('Phase I Pro Forma'!$F$6:$Z$6,'Official Summary'!G$7,'Phase I Pro Forma'!$F$287:$Z$287)+SUMIF('Phase II Pro Forma'!$F$6:$Z$6,'Official Summary'!G$7,'Phase II Pro Forma'!$F$287:$Z$287)+SUMIF('Phase III Pro Forma'!$F$6:$Z$6,'Official Summary'!G$7,'Phase III Pro Forma'!$F$287:$Z$287))*(SUM(Budget!$T$35:$T$44)/SUM(Budget!$M$35:$U$44))</f>
        <v>1469929.8280637171</v>
      </c>
      <c r="H41" s="278">
        <f ca="1">+(SUMIF('Phase I Pro Forma'!$F$6:$Z$6,'Official Summary'!H$7,'Phase I Pro Forma'!$F$287:$Z$287)+SUMIF('Phase II Pro Forma'!$F$6:$Z$6,'Official Summary'!H$7,'Phase II Pro Forma'!$F$287:$Z$287)+SUMIF('Phase III Pro Forma'!$F$6:$Z$6,'Official Summary'!H$7,'Phase III Pro Forma'!$F$287:$Z$287))*(SUM(Budget!$T$35:$T$44)/SUM(Budget!$M$35:$U$44))</f>
        <v>1469929.8280637171</v>
      </c>
      <c r="I41" s="262">
        <f ca="1">+(SUMIF('Phase I Pro Forma'!$F$6:$Z$6,'Official Summary'!I$7,'Phase I Pro Forma'!$F$287:$Z$287)+SUMIF('Phase II Pro Forma'!$F$6:$Z$6,'Official Summary'!I$7,'Phase II Pro Forma'!$F$287:$Z$287)+SUMIF('Phase III Pro Forma'!$F$6:$Z$6,'Official Summary'!I$7,'Phase III Pro Forma'!$F$287:$Z$287))*(SUM(Budget!$T$35:$T$44)/SUM(Budget!$M$35:$U$44))</f>
        <v>2456570.8834603843</v>
      </c>
      <c r="J41" s="262">
        <f ca="1">+(SUMIF('Phase I Pro Forma'!$F$6:$Z$6,'Official Summary'!J$7,'Phase I Pro Forma'!$F$287:$Z$287)+SUMIF('Phase II Pro Forma'!$F$6:$Z$6,'Official Summary'!J$7,'Phase II Pro Forma'!$F$287:$Z$287)+SUMIF('Phase III Pro Forma'!$F$6:$Z$6,'Official Summary'!J$7,'Phase III Pro Forma'!$F$287:$Z$287))*(SUM(Budget!$T$35:$T$44)/SUM(Budget!$M$35:$U$44))</f>
        <v>2456570.8834603843</v>
      </c>
      <c r="K41" s="262">
        <f ca="1">+(SUMIF('Phase I Pro Forma'!$F$6:$Z$6,'Official Summary'!K$7,'Phase I Pro Forma'!$F$287:$Z$287)+SUMIF('Phase II Pro Forma'!$F$6:$Z$6,'Official Summary'!K$7,'Phase II Pro Forma'!$F$287:$Z$287)+SUMIF('Phase III Pro Forma'!$F$6:$Z$6,'Official Summary'!K$7,'Phase III Pro Forma'!$F$287:$Z$287))*(SUM(Budget!$T$35:$T$44)/SUM(Budget!$M$35:$U$44))</f>
        <v>0</v>
      </c>
      <c r="L41" s="262">
        <f ca="1">+(SUMIF('Phase I Pro Forma'!$F$6:$Z$6,'Official Summary'!L$7,'Phase I Pro Forma'!$F$287:$Z$287)+SUMIF('Phase II Pro Forma'!$F$6:$Z$6,'Official Summary'!L$7,'Phase II Pro Forma'!$F$287:$Z$287)+SUMIF('Phase III Pro Forma'!$F$6:$Z$6,'Official Summary'!L$7,'Phase III Pro Forma'!$F$287:$Z$287))*(SUM(Budget!$T$35:$T$44)/SUM(Budget!$M$35:$U$44))</f>
        <v>0</v>
      </c>
      <c r="M41" s="262">
        <f ca="1">+(SUMIF('Phase I Pro Forma'!$F$6:$Z$6,'Official Summary'!M$7,'Phase I Pro Forma'!$F$287:$Z$287)+SUMIF('Phase II Pro Forma'!$F$6:$Z$6,'Official Summary'!M$7,'Phase II Pro Forma'!$F$287:$Z$287)+SUMIF('Phase III Pro Forma'!$F$6:$Z$6,'Official Summary'!M$7,'Phase III Pro Forma'!$F$287:$Z$287))*(SUM(Budget!$T$35:$T$44)/SUM(Budget!$M$35:$U$44))</f>
        <v>0</v>
      </c>
      <c r="N41" s="292">
        <f ca="1">+(SUMIF('Phase I Pro Forma'!$F$6:$Z$6,'Official Summary'!N$7,'Phase I Pro Forma'!$F$287:$Z$287)+SUMIF('Phase II Pro Forma'!$F$6:$Z$6,'Official Summary'!N$7,'Phase II Pro Forma'!$F$287:$Z$287)+SUMIF('Phase III Pro Forma'!$F$6:$Z$6,'Official Summary'!N$7,'Phase III Pro Forma'!$F$287:$Z$287))*(SUM(Budget!$T$35:$T$44)/SUM(Budget!$M$35:$U$44))</f>
        <v>0</v>
      </c>
    </row>
    <row r="42" spans="2:14" ht="19" customHeight="1" x14ac:dyDescent="0.35">
      <c r="B42" s="341" t="s">
        <v>28</v>
      </c>
      <c r="C42" s="383"/>
      <c r="D42" s="287">
        <f ca="1">+(SUMIF('Phase I Pro Forma'!$F$6:$Z$6,'Official Summary'!D$7,'Phase I Pro Forma'!$F$287:$Z$287)+SUMIF('Phase II Pro Forma'!$F$6:$Z$6,'Official Summary'!D$7,'Phase II Pro Forma'!$F$287:$Z$287)+SUMIF('Phase III Pro Forma'!$F$6:$Z$6,'Official Summary'!D$7,'Phase III Pro Forma'!$F$287:$Z$287))*(SUM(Budget!$U$35:$U$44)/SUM(Budget!$M$35:$U$44))</f>
        <v>357.63619252160447</v>
      </c>
      <c r="E42" s="262">
        <f ca="1">+(SUMIF('Phase I Pro Forma'!$F$6:$Z$6,'Official Summary'!E$7,'Phase I Pro Forma'!$F$287:$Z$287)+SUMIF('Phase II Pro Forma'!$F$6:$Z$6,'Official Summary'!E$7,'Phase II Pro Forma'!$F$287:$Z$287)+SUMIF('Phase III Pro Forma'!$F$6:$Z$6,'Official Summary'!E$7,'Phase III Pro Forma'!$F$287:$Z$287))*(SUM(Budget!$U$35:$U$44)/SUM(Budget!$M$35:$U$44))</f>
        <v>332493.76095460914</v>
      </c>
      <c r="F42" s="283">
        <f ca="1">+(SUMIF('Phase I Pro Forma'!$F$6:$Z$6,'Official Summary'!F$7,'Phase I Pro Forma'!$F$287:$Z$287)+SUMIF('Phase II Pro Forma'!$F$6:$Z$6,'Official Summary'!F$7,'Phase II Pro Forma'!$F$287:$Z$287)+SUMIF('Phase III Pro Forma'!$F$6:$Z$6,'Official Summary'!F$7,'Phase III Pro Forma'!$F$287:$Z$287))*(SUM(Budget!$U$35:$U$44)/SUM(Budget!$M$35:$U$44))</f>
        <v>332493.76095460914</v>
      </c>
      <c r="G42" s="262">
        <f ca="1">+(SUMIF('Phase I Pro Forma'!$F$6:$Z$6,'Official Summary'!G$7,'Phase I Pro Forma'!$F$287:$Z$287)+SUMIF('Phase II Pro Forma'!$F$6:$Z$6,'Official Summary'!G$7,'Phase II Pro Forma'!$F$287:$Z$287)+SUMIF('Phase III Pro Forma'!$F$6:$Z$6,'Official Summary'!G$7,'Phase III Pro Forma'!$F$287:$Z$287))*(SUM(Budget!$U$35:$U$44)/SUM(Budget!$M$35:$U$44))</f>
        <v>194638.50203076657</v>
      </c>
      <c r="H42" s="278">
        <f ca="1">+(SUMIF('Phase I Pro Forma'!$F$6:$Z$6,'Official Summary'!H$7,'Phase I Pro Forma'!$F$287:$Z$287)+SUMIF('Phase II Pro Forma'!$F$6:$Z$6,'Official Summary'!H$7,'Phase II Pro Forma'!$F$287:$Z$287)+SUMIF('Phase III Pro Forma'!$F$6:$Z$6,'Official Summary'!H$7,'Phase III Pro Forma'!$F$287:$Z$287))*(SUM(Budget!$U$35:$U$44)/SUM(Budget!$M$35:$U$44))</f>
        <v>194638.50203076657</v>
      </c>
      <c r="I42" s="262">
        <f ca="1">+(SUMIF('Phase I Pro Forma'!$F$6:$Z$6,'Official Summary'!I$7,'Phase I Pro Forma'!$F$287:$Z$287)+SUMIF('Phase II Pro Forma'!$F$6:$Z$6,'Official Summary'!I$7,'Phase II Pro Forma'!$F$287:$Z$287)+SUMIF('Phase III Pro Forma'!$F$6:$Z$6,'Official Summary'!I$7,'Phase III Pro Forma'!$F$287:$Z$287))*(SUM(Budget!$U$35:$U$44)/SUM(Budget!$M$35:$U$44))</f>
        <v>325283.06301462435</v>
      </c>
      <c r="J42" s="262">
        <f ca="1">+(SUMIF('Phase I Pro Forma'!$F$6:$Z$6,'Official Summary'!J$7,'Phase I Pro Forma'!$F$287:$Z$287)+SUMIF('Phase II Pro Forma'!$F$6:$Z$6,'Official Summary'!J$7,'Phase II Pro Forma'!$F$287:$Z$287)+SUMIF('Phase III Pro Forma'!$F$6:$Z$6,'Official Summary'!J$7,'Phase III Pro Forma'!$F$287:$Z$287))*(SUM(Budget!$U$35:$U$44)/SUM(Budget!$M$35:$U$44))</f>
        <v>325283.06301462435</v>
      </c>
      <c r="K42" s="262">
        <f ca="1">+(SUMIF('Phase I Pro Forma'!$F$6:$Z$6,'Official Summary'!K$7,'Phase I Pro Forma'!$F$287:$Z$287)+SUMIF('Phase II Pro Forma'!$F$6:$Z$6,'Official Summary'!K$7,'Phase II Pro Forma'!$F$287:$Z$287)+SUMIF('Phase III Pro Forma'!$F$6:$Z$6,'Official Summary'!K$7,'Phase III Pro Forma'!$F$287:$Z$287))*(SUM(Budget!$U$35:$U$44)/SUM(Budget!$M$35:$U$44))</f>
        <v>0</v>
      </c>
      <c r="L42" s="262">
        <f ca="1">+(SUMIF('Phase I Pro Forma'!$F$6:$Z$6,'Official Summary'!L$7,'Phase I Pro Forma'!$F$287:$Z$287)+SUMIF('Phase II Pro Forma'!$F$6:$Z$6,'Official Summary'!L$7,'Phase II Pro Forma'!$F$287:$Z$287)+SUMIF('Phase III Pro Forma'!$F$6:$Z$6,'Official Summary'!L$7,'Phase III Pro Forma'!$F$287:$Z$287))*(SUM(Budget!$U$35:$U$44)/SUM(Budget!$M$35:$U$44))</f>
        <v>0</v>
      </c>
      <c r="M42" s="262">
        <f ca="1">+(SUMIF('Phase I Pro Forma'!$F$6:$Z$6,'Official Summary'!M$7,'Phase I Pro Forma'!$F$287:$Z$287)+SUMIF('Phase II Pro Forma'!$F$6:$Z$6,'Official Summary'!M$7,'Phase II Pro Forma'!$F$287:$Z$287)+SUMIF('Phase III Pro Forma'!$F$6:$Z$6,'Official Summary'!M$7,'Phase III Pro Forma'!$F$287:$Z$287))*(SUM(Budget!$U$35:$U$44)/SUM(Budget!$M$35:$U$44))</f>
        <v>0</v>
      </c>
      <c r="N42" s="292">
        <f ca="1">+(SUMIF('Phase I Pro Forma'!$F$6:$Z$6,'Official Summary'!N$7,'Phase I Pro Forma'!$F$287:$Z$287)+SUMIF('Phase II Pro Forma'!$F$6:$Z$6,'Official Summary'!N$7,'Phase II Pro Forma'!$F$287:$Z$287)+SUMIF('Phase III Pro Forma'!$F$6:$Z$6,'Official Summary'!N$7,'Phase III Pro Forma'!$F$287:$Z$287))*(SUM(Budget!$U$35:$U$44)/SUM(Budget!$M$35:$U$44))</f>
        <v>0</v>
      </c>
    </row>
    <row r="43" spans="2:14" ht="19" customHeight="1" x14ac:dyDescent="0.35">
      <c r="B43" s="300" t="s">
        <v>48</v>
      </c>
      <c r="C43" s="300"/>
      <c r="D43" s="287" t="s">
        <v>497</v>
      </c>
      <c r="E43" s="262" t="s">
        <v>497</v>
      </c>
      <c r="F43" s="283" t="s">
        <v>497</v>
      </c>
      <c r="G43" s="262" t="s">
        <v>497</v>
      </c>
      <c r="H43" s="278" t="s">
        <v>497</v>
      </c>
      <c r="I43" s="262" t="s">
        <v>497</v>
      </c>
      <c r="J43" s="262" t="s">
        <v>497</v>
      </c>
      <c r="K43" s="262" t="s">
        <v>497</v>
      </c>
      <c r="L43" s="262" t="s">
        <v>497</v>
      </c>
      <c r="M43" s="262" t="s">
        <v>497</v>
      </c>
      <c r="N43" s="292" t="s">
        <v>497</v>
      </c>
    </row>
    <row r="44" spans="2:14" ht="19" customHeight="1" x14ac:dyDescent="0.35">
      <c r="B44" s="300" t="s">
        <v>238</v>
      </c>
      <c r="C44" s="300"/>
      <c r="D44" s="287">
        <f ca="1">+(SUMIF('Phase I Pro Forma'!$F$6:$Z$6,'Official Summary'!D$7,'Phase I Pro Forma'!$F$287:$Z$287)+SUMIF('Phase II Pro Forma'!$F$6:$Z$6,'Official Summary'!D$7,'Phase II Pro Forma'!$F$287:$Z$287)+SUMIF('Phase III Pro Forma'!$F$6:$Z$6,'Official Summary'!D$7,'Phase III Pro Forma'!$F$287:$Z$287))*(SUM(Budget!$S$35:$S$44)/SUM(Budget!$M$35:$U$44))</f>
        <v>6153.5598557652302</v>
      </c>
      <c r="E44" s="262">
        <f ca="1">+(SUMIF('Phase I Pro Forma'!$F$6:$Z$6,'Official Summary'!E$7,'Phase I Pro Forma'!$F$287:$Z$287)+SUMIF('Phase II Pro Forma'!$F$6:$Z$6,'Official Summary'!E$7,'Phase II Pro Forma'!$F$287:$Z$287)+SUMIF('Phase III Pro Forma'!$F$6:$Z$6,'Official Summary'!E$7,'Phase III Pro Forma'!$F$287:$Z$287))*(SUM(Budget!$S$35:$S$44)/SUM(Budget!$M$35:$U$44))</f>
        <v>5720954.1497371951</v>
      </c>
      <c r="F44" s="283">
        <f ca="1">+(SUMIF('Phase I Pro Forma'!$F$6:$Z$6,'Official Summary'!F$7,'Phase I Pro Forma'!$F$287:$Z$287)+SUMIF('Phase II Pro Forma'!$F$6:$Z$6,'Official Summary'!F$7,'Phase II Pro Forma'!$F$287:$Z$287)+SUMIF('Phase III Pro Forma'!$F$6:$Z$6,'Official Summary'!F$7,'Phase III Pro Forma'!$F$287:$Z$287))*(SUM(Budget!$S$35:$S$44)/SUM(Budget!$M$35:$U$44))</f>
        <v>5720954.1497371951</v>
      </c>
      <c r="G44" s="262">
        <f ca="1">+(SUMIF('Phase I Pro Forma'!$F$6:$Z$6,'Official Summary'!G$7,'Phase I Pro Forma'!$F$287:$Z$287)+SUMIF('Phase II Pro Forma'!$F$6:$Z$6,'Official Summary'!G$7,'Phase II Pro Forma'!$F$287:$Z$287)+SUMIF('Phase III Pro Forma'!$F$6:$Z$6,'Official Summary'!G$7,'Phase III Pro Forma'!$F$287:$Z$287))*(SUM(Budget!$S$35:$S$44)/SUM(Budget!$M$35:$U$44))</f>
        <v>3348988.9936417751</v>
      </c>
      <c r="H44" s="278">
        <f ca="1">+(SUMIF('Phase I Pro Forma'!$F$6:$Z$6,'Official Summary'!H$7,'Phase I Pro Forma'!$F$287:$Z$287)+SUMIF('Phase II Pro Forma'!$F$6:$Z$6,'Official Summary'!H$7,'Phase II Pro Forma'!$F$287:$Z$287)+SUMIF('Phase III Pro Forma'!$F$6:$Z$6,'Official Summary'!H$7,'Phase III Pro Forma'!$F$287:$Z$287))*(SUM(Budget!$S$35:$S$44)/SUM(Budget!$M$35:$U$44))</f>
        <v>3348988.9936417751</v>
      </c>
      <c r="I44" s="262">
        <f ca="1">+(SUMIF('Phase I Pro Forma'!$F$6:$Z$6,'Official Summary'!I$7,'Phase I Pro Forma'!$F$287:$Z$287)+SUMIF('Phase II Pro Forma'!$F$6:$Z$6,'Official Summary'!I$7,'Phase II Pro Forma'!$F$287:$Z$287)+SUMIF('Phase III Pro Forma'!$F$6:$Z$6,'Official Summary'!I$7,'Phase III Pro Forma'!$F$287:$Z$287))*(SUM(Budget!$S$35:$S$44)/SUM(Budget!$M$35:$U$44))</f>
        <v>5596885.4388422295</v>
      </c>
      <c r="J44" s="262">
        <f ca="1">+(SUMIF('Phase I Pro Forma'!$F$6:$Z$6,'Official Summary'!J$7,'Phase I Pro Forma'!$F$287:$Z$287)+SUMIF('Phase II Pro Forma'!$F$6:$Z$6,'Official Summary'!J$7,'Phase II Pro Forma'!$F$287:$Z$287)+SUMIF('Phase III Pro Forma'!$F$6:$Z$6,'Official Summary'!J$7,'Phase III Pro Forma'!$F$287:$Z$287))*(SUM(Budget!$S$35:$S$44)/SUM(Budget!$M$35:$U$44))</f>
        <v>5596885.4388422295</v>
      </c>
      <c r="K44" s="262">
        <f ca="1">+(SUMIF('Phase I Pro Forma'!$F$6:$Z$6,'Official Summary'!K$7,'Phase I Pro Forma'!$F$287:$Z$287)+SUMIF('Phase II Pro Forma'!$F$6:$Z$6,'Official Summary'!K$7,'Phase II Pro Forma'!$F$287:$Z$287)+SUMIF('Phase III Pro Forma'!$F$6:$Z$6,'Official Summary'!K$7,'Phase III Pro Forma'!$F$287:$Z$287))*(SUM(Budget!$S$35:$S$44)/SUM(Budget!$M$35:$U$44))</f>
        <v>0</v>
      </c>
      <c r="L44" s="262">
        <f ca="1">+(SUMIF('Phase I Pro Forma'!$F$6:$Z$6,'Official Summary'!L$7,'Phase I Pro Forma'!$F$287:$Z$287)+SUMIF('Phase II Pro Forma'!$F$6:$Z$6,'Official Summary'!L$7,'Phase II Pro Forma'!$F$287:$Z$287)+SUMIF('Phase III Pro Forma'!$F$6:$Z$6,'Official Summary'!L$7,'Phase III Pro Forma'!$F$287:$Z$287))*(SUM(Budget!$S$35:$S$44)/SUM(Budget!$M$35:$U$44))</f>
        <v>0</v>
      </c>
      <c r="M44" s="262">
        <f ca="1">+(SUMIF('Phase I Pro Forma'!$F$6:$Z$6,'Official Summary'!M$7,'Phase I Pro Forma'!$F$287:$Z$287)+SUMIF('Phase II Pro Forma'!$F$6:$Z$6,'Official Summary'!M$7,'Phase II Pro Forma'!$F$287:$Z$287)+SUMIF('Phase III Pro Forma'!$F$6:$Z$6,'Official Summary'!M$7,'Phase III Pro Forma'!$F$287:$Z$287))*(SUM(Budget!$S$35:$S$44)/SUM(Budget!$M$35:$U$44))</f>
        <v>0</v>
      </c>
      <c r="N44" s="292">
        <f ca="1">+(SUMIF('Phase I Pro Forma'!$F$6:$Z$6,'Official Summary'!N$7,'Phase I Pro Forma'!$F$287:$Z$287)+SUMIF('Phase II Pro Forma'!$F$6:$Z$6,'Official Summary'!N$7,'Phase II Pro Forma'!$F$287:$Z$287)+SUMIF('Phase III Pro Forma'!$F$6:$Z$6,'Official Summary'!N$7,'Phase III Pro Forma'!$F$287:$Z$287))*(SUM(Budget!$S$35:$S$44)/SUM(Budget!$M$35:$U$44))</f>
        <v>0</v>
      </c>
    </row>
    <row r="45" spans="2:14" ht="19" customHeight="1" x14ac:dyDescent="0.35">
      <c r="B45" s="295" t="s">
        <v>47</v>
      </c>
      <c r="D45" s="287">
        <f>+(SUMIF('Phase I Pro Forma'!$F$6:$Z$6,'Official Summary'!D$7,'Phase I Pro Forma'!$F$285:$Z$285)+SUMIF('Phase II Pro Forma'!$F$6:$Z$6,'Official Summary'!D$7,'Phase II Pro Forma'!$F$285:$Z$285)+SUMIF('Phase III Pro Forma'!$F$6:$Z$6,'Official Summary'!D$7,'Phase III Pro Forma'!$F$285:$Z$285))</f>
        <v>6900151</v>
      </c>
      <c r="E45" s="262">
        <f>+(SUMIF('Phase I Pro Forma'!$F$6:$Z$6,'Official Summary'!E$7,'Phase I Pro Forma'!$F$285:$Z$285)+SUMIF('Phase II Pro Forma'!$F$6:$Z$6,'Official Summary'!E$7,'Phase II Pro Forma'!$F$285:$Z$285)+SUMIF('Phase III Pro Forma'!$F$6:$Z$6,'Official Summary'!E$7,'Phase III Pro Forma'!$F$285:$Z$285))</f>
        <v>0</v>
      </c>
      <c r="F45" s="283">
        <f>+(SUMIF('Phase I Pro Forma'!$F$6:$Z$6,'Official Summary'!F$7,'Phase I Pro Forma'!$F$285:$Z$285)+SUMIF('Phase II Pro Forma'!$F$6:$Z$6,'Official Summary'!F$7,'Phase II Pro Forma'!$F$285:$Z$285)+SUMIF('Phase III Pro Forma'!$F$6:$Z$6,'Official Summary'!F$7,'Phase III Pro Forma'!$F$285:$Z$285))</f>
        <v>818973.10714285716</v>
      </c>
      <c r="G45" s="262">
        <f>+(SUMIF('Phase I Pro Forma'!$F$6:$Z$6,'Official Summary'!G$7,'Phase I Pro Forma'!$F$285:$Z$285)+SUMIF('Phase II Pro Forma'!$F$6:$Z$6,'Official Summary'!G$7,'Phase II Pro Forma'!$F$285:$Z$285)+SUMIF('Phase III Pro Forma'!$F$6:$Z$6,'Official Summary'!G$7,'Phase III Pro Forma'!$F$285:$Z$285))</f>
        <v>0</v>
      </c>
      <c r="H45" s="278">
        <f>+(SUMIF('Phase I Pro Forma'!$F$6:$Z$6,'Official Summary'!H$7,'Phase I Pro Forma'!$F$285:$Z$285)+SUMIF('Phase II Pro Forma'!$F$6:$Z$6,'Official Summary'!H$7,'Phase II Pro Forma'!$F$285:$Z$285)+SUMIF('Phase III Pro Forma'!$F$6:$Z$6,'Official Summary'!H$7,'Phase III Pro Forma'!$F$285:$Z$285))</f>
        <v>9121587</v>
      </c>
      <c r="I45" s="262">
        <f>+(SUMIF('Phase I Pro Forma'!$F$6:$Z$6,'Official Summary'!I$7,'Phase I Pro Forma'!$F$285:$Z$285)+SUMIF('Phase II Pro Forma'!$F$6:$Z$6,'Official Summary'!I$7,'Phase II Pro Forma'!$F$285:$Z$285)+SUMIF('Phase III Pro Forma'!$F$6:$Z$6,'Official Summary'!I$7,'Phase III Pro Forma'!$F$285:$Z$285))</f>
        <v>0</v>
      </c>
      <c r="J45" s="262">
        <f>+(SUMIF('Phase I Pro Forma'!$F$6:$Z$6,'Official Summary'!J$7,'Phase I Pro Forma'!$F$285:$Z$285)+SUMIF('Phase II Pro Forma'!$F$6:$Z$6,'Official Summary'!J$7,'Phase II Pro Forma'!$F$285:$Z$285)+SUMIF('Phase III Pro Forma'!$F$6:$Z$6,'Official Summary'!J$7,'Phase III Pro Forma'!$F$285:$Z$285))</f>
        <v>0</v>
      </c>
      <c r="K45" s="262">
        <f>+(SUMIF('Phase I Pro Forma'!$F$6:$Z$6,'Official Summary'!K$7,'Phase I Pro Forma'!$F$285:$Z$285)+SUMIF('Phase II Pro Forma'!$F$6:$Z$6,'Official Summary'!K$7,'Phase II Pro Forma'!$F$285:$Z$285)+SUMIF('Phase III Pro Forma'!$F$6:$Z$6,'Official Summary'!K$7,'Phase III Pro Forma'!$F$285:$Z$285))</f>
        <v>0</v>
      </c>
      <c r="L45" s="262">
        <f>+(SUMIF('Phase I Pro Forma'!$F$6:$Z$6,'Official Summary'!L$7,'Phase I Pro Forma'!$F$285:$Z$285)+SUMIF('Phase II Pro Forma'!$F$6:$Z$6,'Official Summary'!L$7,'Phase II Pro Forma'!$F$285:$Z$285)+SUMIF('Phase III Pro Forma'!$F$6:$Z$6,'Official Summary'!L$7,'Phase III Pro Forma'!$F$285:$Z$285))</f>
        <v>0</v>
      </c>
      <c r="M45" s="262">
        <f>+(SUMIF('Phase I Pro Forma'!$F$6:$Z$6,'Official Summary'!M$7,'Phase I Pro Forma'!$F$285:$Z$285)+SUMIF('Phase II Pro Forma'!$F$6:$Z$6,'Official Summary'!M$7,'Phase II Pro Forma'!$F$285:$Z$285)+SUMIF('Phase III Pro Forma'!$F$6:$Z$6,'Official Summary'!M$7,'Phase III Pro Forma'!$F$285:$Z$285))</f>
        <v>0</v>
      </c>
      <c r="N45" s="292">
        <f>+(SUMIF('Phase I Pro Forma'!$F$6:$Z$6,'Official Summary'!N$7,'Phase I Pro Forma'!$F$285:$Z$285)+SUMIF('Phase II Pro Forma'!$F$6:$Z$6,'Official Summary'!N$7,'Phase II Pro Forma'!$F$285:$Z$285)+SUMIF('Phase III Pro Forma'!$F$6:$Z$6,'Official Summary'!N$7,'Phase III Pro Forma'!$F$285:$Z$285))</f>
        <v>0</v>
      </c>
    </row>
    <row r="46" spans="2:14" ht="19" customHeight="1" x14ac:dyDescent="0.35">
      <c r="B46" s="295" t="s">
        <v>42</v>
      </c>
      <c r="C46" s="263"/>
      <c r="D46" s="287">
        <f>+(SUMIF('Phase I Pro Forma'!$F$6:$Z$6,'Official Summary'!D$7,'Phase I Pro Forma'!$F$286:$Z$286)+SUMIF('Phase II Pro Forma'!$F$6:$Z$6,'Official Summary'!D$7,'Phase II Pro Forma'!$F$286:$Z$286)+SUMIF('Phase III Pro Forma'!$F$6:$Z$6,'Official Summary'!D$7,'Phase III Pro Forma'!$F$286:$Z$286))</f>
        <v>31353547.897872344</v>
      </c>
      <c r="E46" s="262">
        <f>+(SUMIF('Phase I Pro Forma'!$F$6:$Z$6,'Official Summary'!E$7,'Phase I Pro Forma'!$F$286:$Z$286)+SUMIF('Phase II Pro Forma'!$F$6:$Z$6,'Official Summary'!E$7,'Phase II Pro Forma'!$F$286:$Z$286)+SUMIF('Phase III Pro Forma'!$F$6:$Z$6,'Official Summary'!E$7,'Phase III Pro Forma'!$F$286:$Z$286))</f>
        <v>0</v>
      </c>
      <c r="F46" s="283">
        <f>+(SUMIF('Phase I Pro Forma'!$F$6:$Z$6,'Official Summary'!F$7,'Phase I Pro Forma'!$F$286:$Z$286)+SUMIF('Phase II Pro Forma'!$F$6:$Z$6,'Official Summary'!F$7,'Phase II Pro Forma'!$F$286:$Z$286)+SUMIF('Phase III Pro Forma'!$F$6:$Z$6,'Official Summary'!F$7,'Phase III Pro Forma'!$F$286:$Z$286))</f>
        <v>10461100</v>
      </c>
      <c r="G46" s="262">
        <f>+(SUMIF('Phase I Pro Forma'!$F$6:$Z$6,'Official Summary'!G$7,'Phase I Pro Forma'!$F$286:$Z$286)+SUMIF('Phase II Pro Forma'!$F$6:$Z$6,'Official Summary'!G$7,'Phase II Pro Forma'!$F$286:$Z$286)+SUMIF('Phase III Pro Forma'!$F$6:$Z$6,'Official Summary'!G$7,'Phase III Pro Forma'!$F$286:$Z$286))</f>
        <v>0</v>
      </c>
      <c r="H46" s="278">
        <f>+(SUMIF('Phase I Pro Forma'!$F$6:$Z$6,'Official Summary'!H$7,'Phase I Pro Forma'!$F$286:$Z$286)+SUMIF('Phase II Pro Forma'!$F$6:$Z$6,'Official Summary'!H$7,'Phase II Pro Forma'!$F$286:$Z$286)+SUMIF('Phase III Pro Forma'!$F$6:$Z$6,'Official Summary'!H$7,'Phase III Pro Forma'!$F$286:$Z$286))</f>
        <v>29495173.948328272</v>
      </c>
      <c r="I46" s="262">
        <f>+(SUMIF('Phase I Pro Forma'!$F$6:$Z$6,'Official Summary'!I$7,'Phase I Pro Forma'!$F$286:$Z$286)+SUMIF('Phase II Pro Forma'!$F$6:$Z$6,'Official Summary'!I$7,'Phase II Pro Forma'!$F$286:$Z$286)+SUMIF('Phase III Pro Forma'!$F$6:$Z$6,'Official Summary'!I$7,'Phase III Pro Forma'!$F$286:$Z$286))</f>
        <v>0</v>
      </c>
      <c r="J46" s="262">
        <f>+(SUMIF('Phase I Pro Forma'!$F$6:$Z$6,'Official Summary'!J$7,'Phase I Pro Forma'!$F$286:$Z$286)+SUMIF('Phase II Pro Forma'!$F$6:$Z$6,'Official Summary'!J$7,'Phase II Pro Forma'!$F$286:$Z$286)+SUMIF('Phase III Pro Forma'!$F$6:$Z$6,'Official Summary'!J$7,'Phase III Pro Forma'!$F$286:$Z$286))</f>
        <v>0</v>
      </c>
      <c r="K46" s="262">
        <f>+(SUMIF('Phase I Pro Forma'!$F$6:$Z$6,'Official Summary'!K$7,'Phase I Pro Forma'!$F$286:$Z$286)+SUMIF('Phase II Pro Forma'!$F$6:$Z$6,'Official Summary'!K$7,'Phase II Pro Forma'!$F$286:$Z$286)+SUMIF('Phase III Pro Forma'!$F$6:$Z$6,'Official Summary'!K$7,'Phase III Pro Forma'!$F$286:$Z$286))</f>
        <v>0</v>
      </c>
      <c r="L46" s="262">
        <f>+(SUMIF('Phase I Pro Forma'!$F$6:$Z$6,'Official Summary'!L$7,'Phase I Pro Forma'!$F$286:$Z$286)+SUMIF('Phase II Pro Forma'!$F$6:$Z$6,'Official Summary'!L$7,'Phase II Pro Forma'!$F$286:$Z$286)+SUMIF('Phase III Pro Forma'!$F$6:$Z$6,'Official Summary'!L$7,'Phase III Pro Forma'!$F$286:$Z$286))</f>
        <v>0</v>
      </c>
      <c r="M46" s="262">
        <f>+(SUMIF('Phase I Pro Forma'!$F$6:$Z$6,'Official Summary'!M$7,'Phase I Pro Forma'!$F$286:$Z$286)+SUMIF('Phase II Pro Forma'!$F$6:$Z$6,'Official Summary'!M$7,'Phase II Pro Forma'!$F$286:$Z$286)+SUMIF('Phase III Pro Forma'!$F$6:$Z$6,'Official Summary'!M$7,'Phase III Pro Forma'!$F$286:$Z$286))</f>
        <v>0</v>
      </c>
      <c r="N46" s="292">
        <f>+(SUMIF('Phase I Pro Forma'!$F$6:$Z$6,'Official Summary'!N$7,'Phase I Pro Forma'!$F$286:$Z$286)+SUMIF('Phase II Pro Forma'!$F$6:$Z$6,'Official Summary'!N$7,'Phase II Pro Forma'!$F$286:$Z$286)+SUMIF('Phase III Pro Forma'!$F$6:$Z$6,'Official Summary'!N$7,'Phase III Pro Forma'!$F$286:$Z$286))</f>
        <v>0</v>
      </c>
    </row>
    <row r="47" spans="2:14" ht="19" customHeight="1" x14ac:dyDescent="0.35">
      <c r="B47" s="295" t="s">
        <v>435</v>
      </c>
      <c r="C47" s="263"/>
      <c r="D47" s="287">
        <f ca="1">+(SUMIF('Phase I Pro Forma'!$F$6:$Z$6,'Official Summary'!D$7,'Phase I Pro Forma'!$F$288:$Z$288)+SUMIF('Phase II Pro Forma'!$F$6:$Z$6,'Official Summary'!D$7,'Phase II Pro Forma'!$F$288:$Z$288)+SUMIF('Phase III Pro Forma'!$F$6:$Z$6,'Official Summary'!D$7,'Phase III Pro Forma'!$F$288:$Z$288))+(SUMIF('Phase I Pro Forma'!$F$6:$Z$6,'Official Summary'!D$7,'Phase I Pro Forma'!$F$290:$Z$290)+SUMIF('Phase II Pro Forma'!$F$6:$Z$6,'Official Summary'!D$7,'Phase II Pro Forma'!$F$290:$Z$290)+SUMIF('Phase III Pro Forma'!$F$6:$Z$6,'Official Summary'!D$7,'Phase III Pro Forma'!$F$290:$Z$290))</f>
        <v>13082091.889500661</v>
      </c>
      <c r="E47" s="262">
        <f ca="1">+(SUMIF('Phase I Pro Forma'!$F$6:$Z$6,'Official Summary'!E$7,'Phase I Pro Forma'!$F$288:$Z$288)+SUMIF('Phase II Pro Forma'!$F$6:$Z$6,'Official Summary'!E$7,'Phase II Pro Forma'!$F$288:$Z$288)+SUMIF('Phase III Pro Forma'!$F$6:$Z$6,'Official Summary'!E$7,'Phase III Pro Forma'!$F$288:$Z$288))+(SUMIF('Phase I Pro Forma'!$F$6:$Z$6,'Official Summary'!E$7,'Phase I Pro Forma'!$F$290:$Z$290)+SUMIF('Phase II Pro Forma'!$F$6:$Z$6,'Official Summary'!E$7,'Phase II Pro Forma'!$F$290:$Z$290)+SUMIF('Phase III Pro Forma'!$F$6:$Z$6,'Official Summary'!E$7,'Phase III Pro Forma'!$F$290:$Z$290))</f>
        <v>5520711.3000353752</v>
      </c>
      <c r="F47" s="283">
        <f ca="1">+(SUMIF('Phase I Pro Forma'!$F$6:$Z$6,'Official Summary'!F$7,'Phase I Pro Forma'!$F$288:$Z$288)+SUMIF('Phase II Pro Forma'!$F$6:$Z$6,'Official Summary'!F$7,'Phase II Pro Forma'!$F$288:$Z$288)+SUMIF('Phase III Pro Forma'!$F$6:$Z$6,'Official Summary'!F$7,'Phase III Pro Forma'!$F$288:$Z$288))+(SUMIF('Phase I Pro Forma'!$F$6:$Z$6,'Official Summary'!F$7,'Phase I Pro Forma'!$F$290:$Z$290)+SUMIF('Phase II Pro Forma'!$F$6:$Z$6,'Official Summary'!F$7,'Phase II Pro Forma'!$F$290:$Z$290)+SUMIF('Phase III Pro Forma'!$F$6:$Z$6,'Official Summary'!F$7,'Phase III Pro Forma'!$F$290:$Z$290))</f>
        <v>13108994.569950428</v>
      </c>
      <c r="G47" s="262">
        <f ca="1">+(SUMIF('Phase I Pro Forma'!$F$6:$Z$6,'Official Summary'!G$7,'Phase I Pro Forma'!$F$288:$Z$288)+SUMIF('Phase II Pro Forma'!$F$6:$Z$6,'Official Summary'!G$7,'Phase II Pro Forma'!$F$288:$Z$288)+SUMIF('Phase III Pro Forma'!$F$6:$Z$6,'Official Summary'!G$7,'Phase III Pro Forma'!$F$288:$Z$288))+(SUMIF('Phase I Pro Forma'!$F$6:$Z$6,'Official Summary'!G$7,'Phase I Pro Forma'!$F$290:$Z$290)+SUMIF('Phase II Pro Forma'!$F$6:$Z$6,'Official Summary'!G$7,'Phase II Pro Forma'!$F$290:$Z$290)+SUMIF('Phase III Pro Forma'!$F$6:$Z$6,'Official Summary'!G$7,'Phase III Pro Forma'!$F$290:$Z$290))</f>
        <v>3114272.9161150474</v>
      </c>
      <c r="H47" s="278">
        <f ca="1">+(SUMIF('Phase I Pro Forma'!$F$6:$Z$6,'Official Summary'!H$7,'Phase I Pro Forma'!$F$288:$Z$288)+SUMIF('Phase II Pro Forma'!$F$6:$Z$6,'Official Summary'!H$7,'Phase II Pro Forma'!$F$288:$Z$288)+SUMIF('Phase III Pro Forma'!$F$6:$Z$6,'Official Summary'!H$7,'Phase III Pro Forma'!$F$288:$Z$288))+(SUMIF('Phase I Pro Forma'!$F$6:$Z$6,'Official Summary'!H$7,'Phase I Pro Forma'!$F$290:$Z$290)+SUMIF('Phase II Pro Forma'!$F$6:$Z$6,'Official Summary'!H$7,'Phase II Pro Forma'!$F$290:$Z$290)+SUMIF('Phase III Pro Forma'!$F$6:$Z$6,'Official Summary'!H$7,'Phase III Pro Forma'!$F$290:$Z$290))</f>
        <v>16667526.904234909</v>
      </c>
      <c r="I47" s="262">
        <f ca="1">+(SUMIF('Phase I Pro Forma'!$F$6:$Z$6,'Official Summary'!I$7,'Phase I Pro Forma'!$F$288:$Z$288)+SUMIF('Phase II Pro Forma'!$F$6:$Z$6,'Official Summary'!I$7,'Phase II Pro Forma'!$F$288:$Z$288)+SUMIF('Phase III Pro Forma'!$F$6:$Z$6,'Official Summary'!I$7,'Phase III Pro Forma'!$F$288:$Z$288))+(SUMIF('Phase I Pro Forma'!$F$6:$Z$6,'Official Summary'!I$7,'Phase I Pro Forma'!$F$290:$Z$290)+SUMIF('Phase II Pro Forma'!$F$6:$Z$6,'Official Summary'!I$7,'Phase II Pro Forma'!$F$290:$Z$290)+SUMIF('Phase III Pro Forma'!$F$6:$Z$6,'Official Summary'!I$7,'Phase III Pro Forma'!$F$290:$Z$290))</f>
        <v>5774095.1332580252</v>
      </c>
      <c r="J47" s="262">
        <f ca="1">+(SUMIF('Phase I Pro Forma'!$F$6:$Z$6,'Official Summary'!J$7,'Phase I Pro Forma'!$F$288:$Z$288)+SUMIF('Phase II Pro Forma'!$F$6:$Z$6,'Official Summary'!J$7,'Phase II Pro Forma'!$F$288:$Z$288)+SUMIF('Phase III Pro Forma'!$F$6:$Z$6,'Official Summary'!J$7,'Phase III Pro Forma'!$F$288:$Z$288))+(SUMIF('Phase I Pro Forma'!$F$6:$Z$6,'Official Summary'!J$7,'Phase I Pro Forma'!$F$290:$Z$290)+SUMIF('Phase II Pro Forma'!$F$6:$Z$6,'Official Summary'!J$7,'Phase II Pro Forma'!$F$290:$Z$290)+SUMIF('Phase III Pro Forma'!$F$6:$Z$6,'Official Summary'!J$7,'Phase III Pro Forma'!$F$290:$Z$290))</f>
        <v>5774095.1332580252</v>
      </c>
      <c r="K47" s="262">
        <f>+(SUMIF('Phase I Pro Forma'!$F$6:$Z$6,'Official Summary'!K$7,'Phase I Pro Forma'!$F$288:$Z$288)+SUMIF('Phase II Pro Forma'!$F$6:$Z$6,'Official Summary'!K$7,'Phase II Pro Forma'!$F$288:$Z$288)+SUMIF('Phase III Pro Forma'!$F$6:$Z$6,'Official Summary'!K$7,'Phase III Pro Forma'!$F$288:$Z$288))+(SUMIF('Phase I Pro Forma'!$F$6:$Z$6,'Official Summary'!K$7,'Phase I Pro Forma'!$F$290:$Z$290)+SUMIF('Phase II Pro Forma'!$F$6:$Z$6,'Official Summary'!K$7,'Phase II Pro Forma'!$F$290:$Z$290)+SUMIF('Phase III Pro Forma'!$F$6:$Z$6,'Official Summary'!K$7,'Phase III Pro Forma'!$F$290:$Z$290))</f>
        <v>0</v>
      </c>
      <c r="L47" s="262">
        <f>+(SUMIF('Phase I Pro Forma'!$F$6:$Z$6,'Official Summary'!L$7,'Phase I Pro Forma'!$F$288:$Z$288)+SUMIF('Phase II Pro Forma'!$F$6:$Z$6,'Official Summary'!L$7,'Phase II Pro Forma'!$F$288:$Z$288)+SUMIF('Phase III Pro Forma'!$F$6:$Z$6,'Official Summary'!L$7,'Phase III Pro Forma'!$F$288:$Z$288))+(SUMIF('Phase I Pro Forma'!$F$6:$Z$6,'Official Summary'!L$7,'Phase I Pro Forma'!$F$290:$Z$290)+SUMIF('Phase II Pro Forma'!$F$6:$Z$6,'Official Summary'!L$7,'Phase II Pro Forma'!$F$290:$Z$290)+SUMIF('Phase III Pro Forma'!$F$6:$Z$6,'Official Summary'!L$7,'Phase III Pro Forma'!$F$290:$Z$290))</f>
        <v>0</v>
      </c>
      <c r="M47" s="262">
        <f>+(SUMIF('Phase I Pro Forma'!$F$6:$Z$6,'Official Summary'!M$7,'Phase I Pro Forma'!$F$288:$Z$288)+SUMIF('Phase II Pro Forma'!$F$6:$Z$6,'Official Summary'!M$7,'Phase II Pro Forma'!$F$288:$Z$288)+SUMIF('Phase III Pro Forma'!$F$6:$Z$6,'Official Summary'!M$7,'Phase III Pro Forma'!$F$288:$Z$288))+(SUMIF('Phase I Pro Forma'!$F$6:$Z$6,'Official Summary'!M$7,'Phase I Pro Forma'!$F$290:$Z$290)+SUMIF('Phase II Pro Forma'!$F$6:$Z$6,'Official Summary'!M$7,'Phase II Pro Forma'!$F$290:$Z$290)+SUMIF('Phase III Pro Forma'!$F$6:$Z$6,'Official Summary'!M$7,'Phase III Pro Forma'!$F$290:$Z$290))</f>
        <v>0</v>
      </c>
      <c r="N47" s="292">
        <f>+(SUMIF('Phase I Pro Forma'!$F$6:$Z$6,'Official Summary'!N$7,'Phase I Pro Forma'!$F$288:$Z$288)+SUMIF('Phase II Pro Forma'!$F$6:$Z$6,'Official Summary'!N$7,'Phase II Pro Forma'!$F$288:$Z$288)+SUMIF('Phase III Pro Forma'!$F$6:$Z$6,'Official Summary'!N$7,'Phase III Pro Forma'!$F$288:$Z$288))+(SUMIF('Phase I Pro Forma'!$F$6:$Z$6,'Official Summary'!N$7,'Phase I Pro Forma'!$F$290:$Z$290)+SUMIF('Phase II Pro Forma'!$F$6:$Z$6,'Official Summary'!N$7,'Phase II Pro Forma'!$F$290:$Z$290)+SUMIF('Phase III Pro Forma'!$F$6:$Z$6,'Official Summary'!N$7,'Phase III Pro Forma'!$F$290:$Z$290))</f>
        <v>0</v>
      </c>
    </row>
    <row r="48" spans="2:14" ht="19" customHeight="1" x14ac:dyDescent="0.35">
      <c r="B48" s="312" t="s">
        <v>437</v>
      </c>
      <c r="C48" s="313"/>
      <c r="D48" s="314">
        <f t="shared" ref="D48:N48" ca="1" si="4">+SUM(D32:D47)</f>
        <v>51495790.787373006</v>
      </c>
      <c r="E48" s="314">
        <f t="shared" ca="1" si="4"/>
        <v>154272439.6350354</v>
      </c>
      <c r="F48" s="314">
        <f t="shared" ca="1" si="4"/>
        <v>173140796.01209331</v>
      </c>
      <c r="G48" s="314">
        <f t="shared" ca="1" si="4"/>
        <v>90192037.907815024</v>
      </c>
      <c r="H48" s="314">
        <f t="shared" ca="1" si="4"/>
        <v>142362052.84426317</v>
      </c>
      <c r="I48" s="314">
        <f t="shared" ca="1" si="4"/>
        <v>151299886.90332863</v>
      </c>
      <c r="J48" s="314">
        <f t="shared" ca="1" si="4"/>
        <v>151299886.90332863</v>
      </c>
      <c r="K48" s="314">
        <f t="shared" ca="1" si="4"/>
        <v>0</v>
      </c>
      <c r="L48" s="314">
        <f t="shared" ca="1" si="4"/>
        <v>0</v>
      </c>
      <c r="M48" s="314">
        <f t="shared" ca="1" si="4"/>
        <v>0</v>
      </c>
      <c r="N48" s="314">
        <f t="shared" ca="1" si="4"/>
        <v>0</v>
      </c>
    </row>
    <row r="49" spans="2:14" ht="19" customHeight="1" x14ac:dyDescent="0.35">
      <c r="B49" s="295" t="s">
        <v>445</v>
      </c>
      <c r="C49" s="263"/>
      <c r="D49" s="287">
        <f ca="1">-SUMIF('Phase I Pro Forma'!$F$6:$Z$6,'Official Summary'!D$7,'Phase I Pro Forma'!$F$304:$Z$304)-SUMIF('Phase II Pro Forma'!$F$6:$Z$6,'Official Summary'!D$7,'Phase II Pro Forma'!$F$304:$Z$304)-SUMIF('Phase III Pro Forma'!$F$6:$Z$6,'Official Summary'!D$7,'Phase III Pro Forma'!$F$304:$Z$304)</f>
        <v>0</v>
      </c>
      <c r="E49" s="262">
        <f ca="1">-SUMIF('Phase I Pro Forma'!$F$6:$Z$6,'Official Summary'!E$7,'Phase I Pro Forma'!$F$304:$Z$304)-SUMIF('Phase II Pro Forma'!$F$6:$Z$6,'Official Summary'!E$7,'Phase II Pro Forma'!$F$304:$Z$304)-SUMIF('Phase III Pro Forma'!$F$6:$Z$6,'Official Summary'!E$7,'Phase III Pro Forma'!$F$304:$Z$304)</f>
        <v>-21509097.157441318</v>
      </c>
      <c r="F49" s="283">
        <f ca="1">-SUMIF('Phase I Pro Forma'!$F$6:$Z$6,'Official Summary'!F$7,'Phase I Pro Forma'!$F$304:$Z$304)-SUMIF('Phase II Pro Forma'!$F$6:$Z$6,'Official Summary'!F$7,'Phase II Pro Forma'!$F$304:$Z$304)-SUMIF('Phase III Pro Forma'!$F$6:$Z$6,'Official Summary'!F$7,'Phase III Pro Forma'!$F$304:$Z$304)</f>
        <v>-68470187.046282738</v>
      </c>
      <c r="G49" s="262">
        <f ca="1">-SUMIF('Phase I Pro Forma'!$F$6:$Z$6,'Official Summary'!G$7,'Phase I Pro Forma'!$F$304:$Z$304)-SUMIF('Phase II Pro Forma'!$F$6:$Z$6,'Official Summary'!G$7,'Phase II Pro Forma'!$F$304:$Z$304)-SUMIF('Phase III Pro Forma'!$F$6:$Z$6,'Official Summary'!G$7,'Phase III Pro Forma'!$F$304:$Z$304)</f>
        <v>-11692130.078273021</v>
      </c>
      <c r="H49" s="278">
        <f ca="1">-SUMIF('Phase I Pro Forma'!$F$6:$Z$6,'Official Summary'!H$7,'Phase I Pro Forma'!$F$304:$Z$304)-SUMIF('Phase II Pro Forma'!$F$6:$Z$6,'Official Summary'!H$7,'Phase II Pro Forma'!$F$304:$Z$304)-SUMIF('Phase III Pro Forma'!$F$6:$Z$6,'Official Summary'!H$7,'Phase III Pro Forma'!$F$304:$Z$304)</f>
        <v>-43227357.784903631</v>
      </c>
      <c r="I49" s="262">
        <f ca="1">-SUMIF('Phase I Pro Forma'!$F$6:$Z$6,'Official Summary'!I$7,'Phase I Pro Forma'!$F$304:$Z$304)-SUMIF('Phase II Pro Forma'!$F$6:$Z$6,'Official Summary'!I$7,'Phase II Pro Forma'!$F$304:$Z$304)-SUMIF('Phase III Pro Forma'!$F$6:$Z$6,'Official Summary'!I$7,'Phase III Pro Forma'!$F$304:$Z$304)</f>
        <v>-17771699.164642017</v>
      </c>
      <c r="J49" s="262">
        <f ca="1">-SUMIF('Phase I Pro Forma'!$F$6:$Z$6,'Official Summary'!J$7,'Phase I Pro Forma'!$F$304:$Z$304)-SUMIF('Phase II Pro Forma'!$F$6:$Z$6,'Official Summary'!J$7,'Phase II Pro Forma'!$F$304:$Z$304)-SUMIF('Phase III Pro Forma'!$F$6:$Z$6,'Official Summary'!J$7,'Phase III Pro Forma'!$F$304:$Z$304)</f>
        <v>-60284474.639002524</v>
      </c>
      <c r="K49" s="262">
        <f ca="1">-SUMIF('Phase I Pro Forma'!$F$6:$Z$6,'Official Summary'!K$7,'Phase I Pro Forma'!$F$304:$Z$304)-SUMIF('Phase II Pro Forma'!$F$6:$Z$6,'Official Summary'!K$7,'Phase II Pro Forma'!$F$304:$Z$304)-SUMIF('Phase III Pro Forma'!$F$6:$Z$6,'Official Summary'!K$7,'Phase III Pro Forma'!$F$304:$Z$304)</f>
        <v>-2799217.1540290178</v>
      </c>
      <c r="L49" s="262">
        <f ca="1">-SUMIF('Phase I Pro Forma'!$F$6:$Z$6,'Official Summary'!L$7,'Phase I Pro Forma'!$F$304:$Z$304)-SUMIF('Phase II Pro Forma'!$F$6:$Z$6,'Official Summary'!L$7,'Phase II Pro Forma'!$F$304:$Z$304)-SUMIF('Phase III Pro Forma'!$F$6:$Z$6,'Official Summary'!L$7,'Phase III Pro Forma'!$F$304:$Z$304)</f>
        <v>-2799217.1540290178</v>
      </c>
      <c r="M49" s="262">
        <f ca="1">-SUMIF('Phase I Pro Forma'!$F$6:$Z$6,'Official Summary'!M$7,'Phase I Pro Forma'!$F$304:$Z$304)-SUMIF('Phase II Pro Forma'!$F$6:$Z$6,'Official Summary'!M$7,'Phase II Pro Forma'!$F$304:$Z$304)-SUMIF('Phase III Pro Forma'!$F$6:$Z$6,'Official Summary'!M$7,'Phase III Pro Forma'!$F$304:$Z$304)</f>
        <v>0</v>
      </c>
      <c r="N49" s="292">
        <f ca="1">-SUMIF('Phase I Pro Forma'!$F$6:$Z$6,'Official Summary'!N$7,'Phase I Pro Forma'!$F$304:$Z$304)-SUMIF('Phase II Pro Forma'!$F$6:$Z$6,'Official Summary'!N$7,'Phase II Pro Forma'!$F$304:$Z$304)-SUMIF('Phase III Pro Forma'!$F$6:$Z$6,'Official Summary'!N$7,'Phase III Pro Forma'!$F$304:$Z$304)</f>
        <v>0</v>
      </c>
    </row>
    <row r="50" spans="2:14" ht="19" customHeight="1" x14ac:dyDescent="0.35">
      <c r="B50" s="312" t="s">
        <v>442</v>
      </c>
      <c r="C50" s="313"/>
      <c r="D50" s="314">
        <f ca="1">+D48+D49</f>
        <v>51495790.787373006</v>
      </c>
      <c r="E50" s="314">
        <f t="shared" ref="E50:N50" ca="1" si="5">+E48+E49</f>
        <v>132763342.47759408</v>
      </c>
      <c r="F50" s="314">
        <f t="shared" ca="1" si="5"/>
        <v>104670608.96581057</v>
      </c>
      <c r="G50" s="314">
        <f t="shared" ca="1" si="5"/>
        <v>78499907.829542011</v>
      </c>
      <c r="H50" s="314">
        <f t="shared" ca="1" si="5"/>
        <v>99134695.059359536</v>
      </c>
      <c r="I50" s="314">
        <f t="shared" ca="1" si="5"/>
        <v>133528187.73868661</v>
      </c>
      <c r="J50" s="314">
        <f t="shared" ca="1" si="5"/>
        <v>91015412.264326096</v>
      </c>
      <c r="K50" s="314">
        <f t="shared" ca="1" si="5"/>
        <v>-2799217.1540290178</v>
      </c>
      <c r="L50" s="314">
        <f t="shared" ca="1" si="5"/>
        <v>-2799217.1540290178</v>
      </c>
      <c r="M50" s="314">
        <f t="shared" ca="1" si="5"/>
        <v>0</v>
      </c>
      <c r="N50" s="314">
        <f t="shared" ca="1" si="5"/>
        <v>0</v>
      </c>
    </row>
    <row r="51" spans="2:14" ht="19" customHeight="1" x14ac:dyDescent="0.35">
      <c r="B51" s="295" t="s">
        <v>80</v>
      </c>
      <c r="D51" s="287">
        <f>+(SUMIF('Phase I Pro Forma'!$F$6:$Z$6,'Official Summary'!D$7,'Phase I Pro Forma'!$F$289:$Z$289)+SUMIF('Phase II Pro Forma'!$F$6:$Z$6,'Official Summary'!D$7,'Phase II Pro Forma'!$F$289:$Z$289)+SUMIF('Phase III Pro Forma'!$F$6:$Z$6,'Official Summary'!D$7,'Phase III Pro Forma'!$F$289:$Z$289))</f>
        <v>0</v>
      </c>
      <c r="E51" s="262">
        <f ca="1">+(SUMIF('Phase I Pro Forma'!$F$6:$Z$6,'Official Summary'!E$7,'Phase I Pro Forma'!$F$289:$Z$289)+SUMIF('Phase II Pro Forma'!$F$6:$Z$6,'Official Summary'!E$7,'Phase II Pro Forma'!$F$289:$Z$289)+SUMIF('Phase III Pro Forma'!$F$6:$Z$6,'Official Summary'!E$7,'Phase III Pro Forma'!$F$289:$Z$289))</f>
        <v>14082430.321682071</v>
      </c>
      <c r="F51" s="283">
        <f ca="1">+(SUMIF('Phase I Pro Forma'!$F$6:$Z$6,'Official Summary'!F$7,'Phase I Pro Forma'!$F$289:$Z$289)+SUMIF('Phase II Pro Forma'!$F$6:$Z$6,'Official Summary'!F$7,'Phase II Pro Forma'!$F$289:$Z$289)+SUMIF('Phase III Pro Forma'!$F$6:$Z$6,'Official Summary'!F$7,'Phase III Pro Forma'!$F$289:$Z$289))</f>
        <v>14082430.321682071</v>
      </c>
      <c r="G51" s="262">
        <f ca="1">+(SUMIF('Phase I Pro Forma'!$F$6:$Z$6,'Official Summary'!G$7,'Phase I Pro Forma'!$F$289:$Z$289)+SUMIF('Phase II Pro Forma'!$F$6:$Z$6,'Official Summary'!G$7,'Phase II Pro Forma'!$F$289:$Z$289)+SUMIF('Phase III Pro Forma'!$F$6:$Z$6,'Official Summary'!G$7,'Phase III Pro Forma'!$F$289:$Z$289))</f>
        <v>8028094.510573769</v>
      </c>
      <c r="H51" s="278">
        <f ca="1">+(SUMIF('Phase I Pro Forma'!$F$6:$Z$6,'Official Summary'!H$7,'Phase I Pro Forma'!$F$289:$Z$289)+SUMIF('Phase II Pro Forma'!$F$6:$Z$6,'Official Summary'!H$7,'Phase II Pro Forma'!$F$289:$Z$289)+SUMIF('Phase III Pro Forma'!$F$6:$Z$6,'Official Summary'!H$7,'Phase III Pro Forma'!$F$289:$Z$289))</f>
        <v>8028094.510573769</v>
      </c>
      <c r="I51" s="262">
        <f ca="1">+(SUMIF('Phase I Pro Forma'!$F$6:$Z$6,'Official Summary'!I$7,'Phase I Pro Forma'!$F$289:$Z$289)+SUMIF('Phase II Pro Forma'!$F$6:$Z$6,'Official Summary'!I$7,'Phase II Pro Forma'!$F$289:$Z$289)+SUMIF('Phase III Pro Forma'!$F$6:$Z$6,'Official Summary'!I$7,'Phase III Pro Forma'!$F$289:$Z$289))</f>
        <v>13790376.063715179</v>
      </c>
      <c r="J51" s="262">
        <f ca="1">+(SUMIF('Phase I Pro Forma'!$F$6:$Z$6,'Official Summary'!J$7,'Phase I Pro Forma'!$F$289:$Z$289)+SUMIF('Phase II Pro Forma'!$F$6:$Z$6,'Official Summary'!J$7,'Phase II Pro Forma'!$F$289:$Z$289)+SUMIF('Phase III Pro Forma'!$F$6:$Z$6,'Official Summary'!J$7,'Phase III Pro Forma'!$F$289:$Z$289))</f>
        <v>13790376.063715179</v>
      </c>
      <c r="K51" s="262">
        <f>+(SUMIF('Phase I Pro Forma'!$F$6:$Z$6,'Official Summary'!K$7,'Phase I Pro Forma'!$F$289:$Z$289)+SUMIF('Phase II Pro Forma'!$F$6:$Z$6,'Official Summary'!K$7,'Phase II Pro Forma'!$F$289:$Z$289)+SUMIF('Phase III Pro Forma'!$F$6:$Z$6,'Official Summary'!K$7,'Phase III Pro Forma'!$F$289:$Z$289))</f>
        <v>0</v>
      </c>
      <c r="L51" s="262">
        <f>+(SUMIF('Phase I Pro Forma'!$F$6:$Z$6,'Official Summary'!L$7,'Phase I Pro Forma'!$F$289:$Z$289)+SUMIF('Phase II Pro Forma'!$F$6:$Z$6,'Official Summary'!L$7,'Phase II Pro Forma'!$F$289:$Z$289)+SUMIF('Phase III Pro Forma'!$F$6:$Z$6,'Official Summary'!L$7,'Phase III Pro Forma'!$F$289:$Z$289))</f>
        <v>0</v>
      </c>
      <c r="M51" s="262">
        <f>+(SUMIF('Phase I Pro Forma'!$F$6:$Z$6,'Official Summary'!M$7,'Phase I Pro Forma'!$F$289:$Z$289)+SUMIF('Phase II Pro Forma'!$F$6:$Z$6,'Official Summary'!M$7,'Phase II Pro Forma'!$F$289:$Z$289)+SUMIF('Phase III Pro Forma'!$F$6:$Z$6,'Official Summary'!M$7,'Phase III Pro Forma'!$F$289:$Z$289))</f>
        <v>0</v>
      </c>
      <c r="N51" s="292">
        <f>+(SUMIF('Phase I Pro Forma'!$F$6:$Z$6,'Official Summary'!N$7,'Phase I Pro Forma'!$F$289:$Z$289)+SUMIF('Phase II Pro Forma'!$F$6:$Z$6,'Official Summary'!N$7,'Phase II Pro Forma'!$F$289:$Z$289)+SUMIF('Phase III Pro Forma'!$F$6:$Z$6,'Official Summary'!N$7,'Phase III Pro Forma'!$F$289:$Z$289))</f>
        <v>0</v>
      </c>
    </row>
    <row r="52" spans="2:14" ht="19" customHeight="1" x14ac:dyDescent="0.35">
      <c r="B52" s="297" t="s">
        <v>444</v>
      </c>
      <c r="C52" s="269"/>
      <c r="D52" s="298">
        <f t="shared" ref="D52:N52" ca="1" si="6">+D50+D51</f>
        <v>51495790.787373006</v>
      </c>
      <c r="E52" s="298">
        <f t="shared" ca="1" si="6"/>
        <v>146845772.79927614</v>
      </c>
      <c r="F52" s="298">
        <f t="shared" ca="1" si="6"/>
        <v>118753039.28749263</v>
      </c>
      <c r="G52" s="298">
        <f t="shared" ca="1" si="6"/>
        <v>86528002.340115786</v>
      </c>
      <c r="H52" s="298">
        <f t="shared" ca="1" si="6"/>
        <v>107162789.56993331</v>
      </c>
      <c r="I52" s="298">
        <f t="shared" ca="1" si="6"/>
        <v>147318563.80240178</v>
      </c>
      <c r="J52" s="298">
        <f t="shared" ca="1" si="6"/>
        <v>104805788.32804127</v>
      </c>
      <c r="K52" s="298">
        <f t="shared" ca="1" si="6"/>
        <v>-2799217.1540290178</v>
      </c>
      <c r="L52" s="298">
        <f t="shared" ca="1" si="6"/>
        <v>-2799217.1540290178</v>
      </c>
      <c r="M52" s="298">
        <f t="shared" ca="1" si="6"/>
        <v>0</v>
      </c>
      <c r="N52" s="298">
        <f t="shared" ca="1" si="6"/>
        <v>0</v>
      </c>
    </row>
    <row r="53" spans="2:14" ht="19" customHeight="1" x14ac:dyDescent="0.35">
      <c r="B53" s="245"/>
      <c r="C53" s="245"/>
      <c r="D53" s="246"/>
      <c r="E53" s="247"/>
      <c r="F53" s="248"/>
      <c r="G53" s="248"/>
      <c r="H53" s="248"/>
      <c r="I53" s="248"/>
      <c r="J53" s="248"/>
      <c r="K53" s="248"/>
      <c r="L53" s="248"/>
      <c r="M53" s="249"/>
      <c r="N53" s="248"/>
    </row>
    <row r="54" spans="2:14" ht="19" customHeight="1" x14ac:dyDescent="0.35">
      <c r="B54" s="265" t="s">
        <v>4</v>
      </c>
      <c r="C54" s="265"/>
      <c r="D54" s="273"/>
      <c r="E54" s="266"/>
      <c r="F54" s="266"/>
      <c r="G54" s="266"/>
      <c r="H54" s="266"/>
      <c r="I54" s="266"/>
      <c r="J54" s="266"/>
      <c r="K54" s="266"/>
      <c r="L54" s="266"/>
      <c r="M54" s="252"/>
      <c r="N54" s="266"/>
    </row>
    <row r="55" spans="2:14" ht="19" customHeight="1" x14ac:dyDescent="0.35">
      <c r="B55" s="263" t="s">
        <v>5</v>
      </c>
      <c r="C55" s="263"/>
      <c r="D55" s="286">
        <f ca="1">+D25</f>
        <v>0</v>
      </c>
      <c r="E55" s="268">
        <f t="shared" ref="E55:N55" ca="1" si="7">+E25</f>
        <v>-2859790.3477560584</v>
      </c>
      <c r="F55" s="282">
        <f t="shared" ca="1" si="7"/>
        <v>-2859790.3477560584</v>
      </c>
      <c r="G55" s="268">
        <f t="shared" ca="1" si="7"/>
        <v>7688069.2109750081</v>
      </c>
      <c r="H55" s="277">
        <f t="shared" ca="1" si="7"/>
        <v>20831294.275563378</v>
      </c>
      <c r="I55" s="268">
        <f t="shared" ca="1" si="7"/>
        <v>28457156.050854459</v>
      </c>
      <c r="J55" s="268">
        <f t="shared" ca="1" si="7"/>
        <v>37777390.398515418</v>
      </c>
      <c r="K55" s="268">
        <f t="shared" ca="1" si="7"/>
        <v>52954955.248121679</v>
      </c>
      <c r="L55" s="268">
        <f t="shared" ca="1" si="7"/>
        <v>67374656.712029651</v>
      </c>
      <c r="M55" s="268">
        <f t="shared" ca="1" si="7"/>
        <v>71151841.054904044</v>
      </c>
      <c r="N55" s="291">
        <f t="shared" ca="1" si="7"/>
        <v>73956058.868482515</v>
      </c>
    </row>
    <row r="56" spans="2:14" ht="19" customHeight="1" x14ac:dyDescent="0.35">
      <c r="B56" s="271" t="s">
        <v>45</v>
      </c>
      <c r="C56" s="258"/>
      <c r="D56" s="287">
        <f>+D26</f>
        <v>0</v>
      </c>
      <c r="E56" s="262">
        <f t="shared" ref="E56:N56" si="8">+E26</f>
        <v>0</v>
      </c>
      <c r="F56" s="283">
        <f t="shared" si="8"/>
        <v>0</v>
      </c>
      <c r="G56" s="262">
        <f t="shared" si="8"/>
        <v>0</v>
      </c>
      <c r="H56" s="278">
        <f t="shared" si="8"/>
        <v>0</v>
      </c>
      <c r="I56" s="262">
        <f t="shared" si="8"/>
        <v>0</v>
      </c>
      <c r="J56" s="262">
        <f t="shared" si="8"/>
        <v>0</v>
      </c>
      <c r="K56" s="262">
        <f t="shared" si="8"/>
        <v>0</v>
      </c>
      <c r="L56" s="262">
        <f t="shared" si="8"/>
        <v>0</v>
      </c>
      <c r="M56" s="262">
        <f t="shared" si="8"/>
        <v>0</v>
      </c>
      <c r="N56" s="292">
        <f t="shared" ca="1" si="8"/>
        <v>1193317734.3381302</v>
      </c>
    </row>
    <row r="57" spans="2:14" ht="19" customHeight="1" x14ac:dyDescent="0.35">
      <c r="B57" s="263" t="s">
        <v>11</v>
      </c>
      <c r="C57" s="263"/>
      <c r="D57" s="287">
        <f>+D27</f>
        <v>0</v>
      </c>
      <c r="E57" s="262">
        <f t="shared" ref="E57:N57" si="9">+E27</f>
        <v>0</v>
      </c>
      <c r="F57" s="283">
        <f t="shared" si="9"/>
        <v>0</v>
      </c>
      <c r="G57" s="262">
        <f t="shared" si="9"/>
        <v>0</v>
      </c>
      <c r="H57" s="278">
        <f t="shared" si="9"/>
        <v>0</v>
      </c>
      <c r="I57" s="262">
        <f t="shared" si="9"/>
        <v>0</v>
      </c>
      <c r="J57" s="262">
        <f t="shared" si="9"/>
        <v>0</v>
      </c>
      <c r="K57" s="262">
        <f t="shared" si="9"/>
        <v>0</v>
      </c>
      <c r="L57" s="262">
        <f t="shared" si="9"/>
        <v>0</v>
      </c>
      <c r="M57" s="262">
        <f t="shared" si="9"/>
        <v>0</v>
      </c>
      <c r="N57" s="292">
        <f t="shared" ca="1" si="9"/>
        <v>-23866354.686762609</v>
      </c>
    </row>
    <row r="58" spans="2:14" ht="19" customHeight="1" x14ac:dyDescent="0.35">
      <c r="B58" s="263" t="s">
        <v>446</v>
      </c>
      <c r="C58" s="263"/>
      <c r="D58" s="287">
        <f ca="1">-D50</f>
        <v>-51495790.787373006</v>
      </c>
      <c r="E58" s="262">
        <f t="shared" ref="E58:N58" ca="1" si="10">-E50</f>
        <v>-132763342.47759408</v>
      </c>
      <c r="F58" s="283">
        <f t="shared" ca="1" si="10"/>
        <v>-104670608.96581057</v>
      </c>
      <c r="G58" s="262">
        <f t="shared" ca="1" si="10"/>
        <v>-78499907.829542011</v>
      </c>
      <c r="H58" s="278">
        <f t="shared" ca="1" si="10"/>
        <v>-99134695.059359536</v>
      </c>
      <c r="I58" s="262">
        <f t="shared" ca="1" si="10"/>
        <v>-133528187.73868661</v>
      </c>
      <c r="J58" s="262">
        <f t="shared" ca="1" si="10"/>
        <v>-91015412.264326096</v>
      </c>
      <c r="K58" s="262">
        <f t="shared" ca="1" si="10"/>
        <v>2799217.1540290178</v>
      </c>
      <c r="L58" s="262">
        <f t="shared" ca="1" si="10"/>
        <v>2799217.1540290178</v>
      </c>
      <c r="M58" s="262">
        <f t="shared" ca="1" si="10"/>
        <v>0</v>
      </c>
      <c r="N58" s="292">
        <f t="shared" ca="1" si="10"/>
        <v>0</v>
      </c>
    </row>
    <row r="59" spans="2:14" ht="19" customHeight="1" x14ac:dyDescent="0.35">
      <c r="B59" s="786" t="s">
        <v>447</v>
      </c>
      <c r="C59" s="786"/>
      <c r="D59" s="293">
        <f ca="1">+SUM(D55:D58)</f>
        <v>-51495790.787373006</v>
      </c>
      <c r="E59" s="293">
        <f t="shared" ref="E59:N59" ca="1" si="11">+SUM(E55:E58)</f>
        <v>-135623132.82535014</v>
      </c>
      <c r="F59" s="293">
        <f t="shared" ca="1" si="11"/>
        <v>-107530399.31356663</v>
      </c>
      <c r="G59" s="293">
        <f t="shared" ca="1" si="11"/>
        <v>-70811838.618567005</v>
      </c>
      <c r="H59" s="293">
        <f t="shared" ca="1" si="11"/>
        <v>-78303400.783796161</v>
      </c>
      <c r="I59" s="293">
        <f t="shared" ca="1" si="11"/>
        <v>-105071031.68783215</v>
      </c>
      <c r="J59" s="293">
        <f t="shared" ca="1" si="11"/>
        <v>-53238021.865810677</v>
      </c>
      <c r="K59" s="293">
        <f t="shared" ca="1" si="11"/>
        <v>55754172.402150698</v>
      </c>
      <c r="L59" s="293">
        <f t="shared" ca="1" si="11"/>
        <v>70173873.866058663</v>
      </c>
      <c r="M59" s="293">
        <f t="shared" ca="1" si="11"/>
        <v>71151841.054904044</v>
      </c>
      <c r="N59" s="293">
        <f t="shared" ca="1" si="11"/>
        <v>1243407438.5198503</v>
      </c>
    </row>
    <row r="60" spans="2:14" ht="19" customHeight="1" x14ac:dyDescent="0.35">
      <c r="B60" s="295" t="s">
        <v>441</v>
      </c>
      <c r="C60" s="270"/>
      <c r="D60" s="287">
        <f>-D51</f>
        <v>0</v>
      </c>
      <c r="E60" s="262">
        <f t="shared" ref="E60:N60" ca="1" si="12">-E51</f>
        <v>-14082430.321682071</v>
      </c>
      <c r="F60" s="283">
        <f t="shared" ca="1" si="12"/>
        <v>-14082430.321682071</v>
      </c>
      <c r="G60" s="262">
        <f t="shared" ca="1" si="12"/>
        <v>-8028094.510573769</v>
      </c>
      <c r="H60" s="278">
        <f t="shared" ca="1" si="12"/>
        <v>-8028094.510573769</v>
      </c>
      <c r="I60" s="262">
        <f t="shared" ca="1" si="12"/>
        <v>-13790376.063715179</v>
      </c>
      <c r="J60" s="262">
        <f t="shared" ca="1" si="12"/>
        <v>-13790376.063715179</v>
      </c>
      <c r="K60" s="262">
        <f t="shared" si="12"/>
        <v>0</v>
      </c>
      <c r="L60" s="262">
        <f t="shared" si="12"/>
        <v>0</v>
      </c>
      <c r="M60" s="262">
        <f t="shared" si="12"/>
        <v>0</v>
      </c>
      <c r="N60" s="292">
        <f t="shared" si="12"/>
        <v>0</v>
      </c>
    </row>
    <row r="61" spans="2:14" ht="19" customHeight="1" x14ac:dyDescent="0.35">
      <c r="B61" s="295" t="s">
        <v>509</v>
      </c>
      <c r="C61" s="270"/>
      <c r="D61" s="287">
        <f ca="1">+SUMIF('Phase I Pro Forma'!$F$6:$Z$6,'Official Summary'!D$7,'Phase I Pro Forma'!$F279:$Z279)+SUMIF('Phase II Pro Forma'!$F$6:$Z$6,'Official Summary'!D$7,'Phase II Pro Forma'!$F279:$Z279)+SUMIF('Phase III Pro Forma'!$F$6:$Z$6,'Official Summary'!D$7,'Phase III Pro Forma'!$F279:$Z279)</f>
        <v>0</v>
      </c>
      <c r="E61" s="262">
        <f ca="1">+SUMIF('Phase I Pro Forma'!$F$6:$Z$6,'Official Summary'!E$7,'Phase I Pro Forma'!$F279:$Z279)+SUMIF('Phase II Pro Forma'!$F$6:$Z$6,'Official Summary'!E$7,'Phase II Pro Forma'!$F279:$Z279)+SUMIF('Phase III Pro Forma'!$F$6:$Z$6,'Official Summary'!E$7,'Phase III Pro Forma'!$F279:$Z279)</f>
        <v>137042341.99690846</v>
      </c>
      <c r="F61" s="283">
        <f ca="1">+SUMIF('Phase I Pro Forma'!$F$6:$Z$6,'Official Summary'!F$7,'Phase I Pro Forma'!$F279:$Z279)+SUMIF('Phase II Pro Forma'!$F$6:$Z$6,'Official Summary'!F$7,'Phase II Pro Forma'!$F279:$Z279)+SUMIF('Phase III Pro Forma'!$F$6:$Z$6,'Official Summary'!F$7,'Phase III Pro Forma'!$F279:$Z279)</f>
        <v>102744473.25819075</v>
      </c>
      <c r="G61" s="262">
        <f ca="1">+SUMIF('Phase I Pro Forma'!$F$6:$Z$6,'Official Summary'!G$7,'Phase I Pro Forma'!$F279:$Z279)+SUMIF('Phase II Pro Forma'!$F$6:$Z$6,'Official Summary'!G$7,'Phase II Pro Forma'!$F279:$Z279)+SUMIF('Phase III Pro Forma'!$F$6:$Z$6,'Official Summary'!G$7,'Phase III Pro Forma'!$F279:$Z279)</f>
        <v>108565629.05271345</v>
      </c>
      <c r="H61" s="278">
        <f ca="1">+SUMIF('Phase I Pro Forma'!$F$6:$Z$6,'Official Summary'!H$7,'Phase I Pro Forma'!$F279:$Z279)+SUMIF('Phase II Pro Forma'!$F$6:$Z$6,'Official Summary'!H$7,'Phase II Pro Forma'!$F279:$Z279)+SUMIF('Phase III Pro Forma'!$F$6:$Z$6,'Official Summary'!H$7,'Phase III Pro Forma'!$F279:$Z279)</f>
        <v>59461237.342041433</v>
      </c>
      <c r="I61" s="262">
        <f ca="1">+SUMIF('Phase I Pro Forma'!$F$6:$Z$6,'Official Summary'!I$7,'Phase I Pro Forma'!$F279:$Z279)+SUMIF('Phase II Pro Forma'!$F$6:$Z$6,'Official Summary'!I$7,'Phase II Pro Forma'!$F279:$Z279)+SUMIF('Phase III Pro Forma'!$F$6:$Z$6,'Official Summary'!I$7,'Phase III Pro Forma'!$F279:$Z279)</f>
        <v>151592881.38377202</v>
      </c>
      <c r="J61" s="262">
        <f ca="1">+SUMIF('Phase I Pro Forma'!$F$6:$Z$6,'Official Summary'!J$7,'Phase I Pro Forma'!$F279:$Z279)+SUMIF('Phase II Pro Forma'!$F$6:$Z$6,'Official Summary'!J$7,'Phase II Pro Forma'!$F279:$Z279)+SUMIF('Phase III Pro Forma'!$F$6:$Z$6,'Official Summary'!J$7,'Phase III Pro Forma'!$F279:$Z279)</f>
        <v>109213677.84287049</v>
      </c>
      <c r="K61" s="262">
        <f ca="1">+SUMIF('Phase I Pro Forma'!$F$6:$Z$6,'Official Summary'!K$7,'Phase I Pro Forma'!$F279:$Z279)+SUMIF('Phase II Pro Forma'!$F$6:$Z$6,'Official Summary'!K$7,'Phase II Pro Forma'!$F279:$Z279)+SUMIF('Phase III Pro Forma'!$F$6:$Z$6,'Official Summary'!K$7,'Phase III Pro Forma'!$F279:$Z279)</f>
        <v>46705947.854801834</v>
      </c>
      <c r="L61" s="262">
        <f ca="1">+SUMIF('Phase I Pro Forma'!$F$6:$Z$6,'Official Summary'!L$7,'Phase I Pro Forma'!$F279:$Z279)+SUMIF('Phase II Pro Forma'!$F$6:$Z$6,'Official Summary'!L$7,'Phase II Pro Forma'!$F279:$Z279)+SUMIF('Phase III Pro Forma'!$F$6:$Z$6,'Official Summary'!L$7,'Phase III Pro Forma'!$F279:$Z279)</f>
        <v>0</v>
      </c>
      <c r="M61" s="262">
        <f ca="1">+SUMIF('Phase I Pro Forma'!$F$6:$Z$6,'Official Summary'!M$7,'Phase I Pro Forma'!$F279:$Z279)+SUMIF('Phase II Pro Forma'!$F$6:$Z$6,'Official Summary'!M$7,'Phase II Pro Forma'!$F279:$Z279)+SUMIF('Phase III Pro Forma'!$F$6:$Z$6,'Official Summary'!M$7,'Phase III Pro Forma'!$F279:$Z279)</f>
        <v>0</v>
      </c>
      <c r="N61" s="292">
        <f ca="1">+SUMIF('Phase I Pro Forma'!$F$6:$Z$6,'Official Summary'!N$7,'Phase I Pro Forma'!$F279:$Z279)+SUMIF('Phase II Pro Forma'!$F$6:$Z$6,'Official Summary'!N$7,'Phase II Pro Forma'!$F279:$Z279)+SUMIF('Phase III Pro Forma'!$F$6:$Z$6,'Official Summary'!N$7,'Phase III Pro Forma'!$F279:$Z279)</f>
        <v>0</v>
      </c>
    </row>
    <row r="62" spans="2:14" ht="19" customHeight="1" x14ac:dyDescent="0.35">
      <c r="B62" s="295" t="s">
        <v>508</v>
      </c>
      <c r="C62" s="270"/>
      <c r="D62" s="287">
        <f ca="1">-SUMIF('Phase I Pro Forma'!$F$6:$Z$6,'Official Summary'!D$7,'Phase I Pro Forma'!$F280:$Z280)-SUMIF('Phase II Pro Forma'!$F$6:$Z$6,'Official Summary'!D$7,'Phase II Pro Forma'!$F280:$Z280)-SUMIF('Phase III Pro Forma'!$F$6:$Z$6,'Official Summary'!D$7,'Phase III Pro Forma'!$F280:$Z280)</f>
        <v>0</v>
      </c>
      <c r="E62" s="262">
        <f ca="1">-SUMIF('Phase I Pro Forma'!$F$6:$Z$6,'Official Summary'!E$7,'Phase I Pro Forma'!$F$280:$Z$280)-SUMIF('Phase II Pro Forma'!$F$6:$Z$6,'Official Summary'!E$7,'Phase II Pro Forma'!$F$280:$Z$280)-SUMIF('Phase III Pro Forma'!$F$6:$Z$6,'Official Summary'!E$7,'Phase III Pro Forma'!$F$280:$Z$280)</f>
        <v>0</v>
      </c>
      <c r="F62" s="283">
        <f ca="1">-SUMIF('Phase I Pro Forma'!$F$6:$Z$6,'Official Summary'!F$7,'Phase I Pro Forma'!$F$280:$Z$280)-SUMIF('Phase II Pro Forma'!$F$6:$Z$6,'Official Summary'!F$7,'Phase II Pro Forma'!$F$280:$Z$280)-SUMIF('Phase III Pro Forma'!$F$6:$Z$6,'Official Summary'!F$7,'Phase III Pro Forma'!$F$280:$Z$280)</f>
        <v>0</v>
      </c>
      <c r="G62" s="262">
        <f ca="1">-SUMIF('Phase I Pro Forma'!$F$6:$Z$6,'Official Summary'!G$7,'Phase I Pro Forma'!$F$280:$Z$280)-SUMIF('Phase II Pro Forma'!$F$6:$Z$6,'Official Summary'!G$7,'Phase II Pro Forma'!$F$280:$Z$280)-SUMIF('Phase III Pro Forma'!$F$6:$Z$6,'Official Summary'!G$7,'Phase III Pro Forma'!$F$280:$Z$280)</f>
        <v>-22236112.795499556</v>
      </c>
      <c r="H62" s="278">
        <f ca="1">-SUMIF('Phase I Pro Forma'!$F$6:$Z$6,'Official Summary'!H$7,'Phase I Pro Forma'!$F$280:$Z$280)-SUMIF('Phase II Pro Forma'!$F$6:$Z$6,'Official Summary'!H$7,'Phase II Pro Forma'!$F$280:$Z$280)-SUMIF('Phase III Pro Forma'!$F$6:$Z$6,'Official Summary'!H$7,'Phase III Pro Forma'!$F$280:$Z$280)</f>
        <v>-20021624.698411778</v>
      </c>
      <c r="I62" s="262">
        <f ca="1">-SUMIF('Phase I Pro Forma'!$F$6:$Z$6,'Official Summary'!I$7,'Phase I Pro Forma'!$F$280:$Z$280)-SUMIF('Phase II Pro Forma'!$F$6:$Z$6,'Official Summary'!I$7,'Phase II Pro Forma'!$F$280:$Z$280)-SUMIF('Phase III Pro Forma'!$F$6:$Z$6,'Official Summary'!I$7,'Phase III Pro Forma'!$F$280:$Z$280)</f>
        <v>-32739371.667783953</v>
      </c>
      <c r="J62" s="262">
        <f ca="1">-SUMIF('Phase I Pro Forma'!$F$6:$Z$6,'Official Summary'!J$7,'Phase I Pro Forma'!$F$280:$Z$280)-SUMIF('Phase II Pro Forma'!$F$6:$Z$6,'Official Summary'!J$7,'Phase II Pro Forma'!$F$280:$Z$280)-SUMIF('Phase III Pro Forma'!$F$6:$Z$6,'Official Summary'!J$7,'Phase III Pro Forma'!$F$280:$Z$280)</f>
        <v>-31459958.204396084</v>
      </c>
      <c r="K62" s="262">
        <f ca="1">-SUMIF('Phase I Pro Forma'!$F$6:$Z$6,'Official Summary'!K$7,'Phase I Pro Forma'!$F$280:$Z$280)-SUMIF('Phase II Pro Forma'!$F$6:$Z$6,'Official Summary'!K$7,'Phase II Pro Forma'!$F$280:$Z$280)-SUMIF('Phase III Pro Forma'!$F$6:$Z$6,'Official Summary'!K$7,'Phase III Pro Forma'!$F$280:$Z$280)</f>
        <v>-54311554.487153783</v>
      </c>
      <c r="L62" s="262">
        <f ca="1">-SUMIF('Phase I Pro Forma'!$F$6:$Z$6,'Official Summary'!L$7,'Phase I Pro Forma'!$F$280:$Z$280)-SUMIF('Phase II Pro Forma'!$F$6:$Z$6,'Official Summary'!L$7,'Phase II Pro Forma'!$F$280:$Z$280)-SUMIF('Phase III Pro Forma'!$F$6:$Z$6,'Official Summary'!L$7,'Phase III Pro Forma'!$F$280:$Z$280)</f>
        <v>-52175118.810342431</v>
      </c>
      <c r="M62" s="262">
        <f ca="1">-SUMIF('Phase I Pro Forma'!$F$6:$Z$6,'Official Summary'!M$7,'Phase I Pro Forma'!$F$280:$Z$280)-SUMIF('Phase II Pro Forma'!$F$6:$Z$6,'Official Summary'!M$7,'Phase II Pro Forma'!$F$280:$Z$280)-SUMIF('Phase III Pro Forma'!$F$6:$Z$6,'Official Summary'!M$7,'Phase III Pro Forma'!$F$280:$Z$280)</f>
        <v>-52175118.810342431</v>
      </c>
      <c r="N62" s="292">
        <f ca="1">-SUMIF('Phase I Pro Forma'!$F$6:$Z$6,'Official Summary'!N$7,'Phase I Pro Forma'!$F$280:$Z$280)-SUMIF('Phase II Pro Forma'!$F$6:$Z$6,'Official Summary'!N$7,'Phase II Pro Forma'!$F$280:$Z$280)-SUMIF('Phase III Pro Forma'!$F$6:$Z$6,'Official Summary'!N$7,'Phase III Pro Forma'!$F$280:$Z$280)</f>
        <v>-720748905.32456136</v>
      </c>
    </row>
    <row r="63" spans="2:14" ht="19" customHeight="1" x14ac:dyDescent="0.35">
      <c r="B63" s="297" t="s">
        <v>438</v>
      </c>
      <c r="C63" s="269"/>
      <c r="D63" s="298">
        <f ca="1">+SUM(D59:D62)</f>
        <v>-51495790.787373006</v>
      </c>
      <c r="E63" s="298">
        <f t="shared" ref="E63:N63" ca="1" si="13">+SUM(E59:E62)</f>
        <v>-12663221.150123745</v>
      </c>
      <c r="F63" s="298">
        <f t="shared" ca="1" si="13"/>
        <v>-18868356.37705794</v>
      </c>
      <c r="G63" s="298">
        <f t="shared" ca="1" si="13"/>
        <v>7489583.1280731186</v>
      </c>
      <c r="H63" s="298">
        <f t="shared" ca="1" si="13"/>
        <v>-46891882.650740281</v>
      </c>
      <c r="I63" s="298">
        <f t="shared" ca="1" si="13"/>
        <v>-7898.0355592593551</v>
      </c>
      <c r="J63" s="298">
        <f t="shared" ca="1" si="13"/>
        <v>10725321.708948553</v>
      </c>
      <c r="K63" s="298">
        <f t="shared" ca="1" si="13"/>
        <v>48148565.769798741</v>
      </c>
      <c r="L63" s="298">
        <f t="shared" ca="1" si="13"/>
        <v>17998755.055716231</v>
      </c>
      <c r="M63" s="298">
        <f t="shared" ca="1" si="13"/>
        <v>18976722.244561613</v>
      </c>
      <c r="N63" s="298">
        <f t="shared" ca="1" si="13"/>
        <v>522658533.1952889</v>
      </c>
    </row>
    <row r="64" spans="2:14" ht="19" hidden="1" customHeight="1" outlineLevel="1" x14ac:dyDescent="0.35">
      <c r="B64" s="395" t="s">
        <v>478</v>
      </c>
      <c r="C64" s="392"/>
      <c r="D64" s="396">
        <f ca="1">+D63-'Cash Flow Roll-up'!F6</f>
        <v>0</v>
      </c>
      <c r="E64" s="396">
        <f ca="1">+E63-'Cash Flow Roll-up'!G6</f>
        <v>-2.9802322387695313E-8</v>
      </c>
      <c r="F64" s="396">
        <f ca="1">+F63-'Cash Flow Roll-up'!H6</f>
        <v>-2.9802322387695313E-8</v>
      </c>
      <c r="G64" s="396">
        <f ca="1">+G63-'Cash Flow Roll-up'!I6</f>
        <v>-2.6077032089233398E-8</v>
      </c>
      <c r="H64" s="396">
        <f ca="1">+H63-'Cash Flow Roll-up'!J6</f>
        <v>0</v>
      </c>
      <c r="I64" s="396">
        <f ca="1">+I63-'Cash Flow Roll-up'!K6</f>
        <v>2.9802322387695313E-8</v>
      </c>
      <c r="J64" s="396">
        <f ca="1">+J63-'Cash Flow Roll-up'!L6</f>
        <v>0</v>
      </c>
      <c r="K64" s="396">
        <f ca="1">+K63-'Cash Flow Roll-up'!M6</f>
        <v>0</v>
      </c>
      <c r="L64" s="396">
        <f ca="1">+L63-'Cash Flow Roll-up'!N6</f>
        <v>0</v>
      </c>
      <c r="M64" s="396">
        <f ca="1">+M63-'Cash Flow Roll-up'!O6</f>
        <v>0</v>
      </c>
      <c r="N64" s="396">
        <f ca="1">+N63-'Cash Flow Roll-up'!P6</f>
        <v>0</v>
      </c>
    </row>
    <row r="65" spans="2:14" ht="19" customHeight="1" collapsed="1" x14ac:dyDescent="0.35">
      <c r="B65" s="302"/>
      <c r="C65" s="392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</row>
    <row r="66" spans="2:14" ht="19" customHeight="1" x14ac:dyDescent="0.35">
      <c r="B66" s="267" t="s">
        <v>10</v>
      </c>
      <c r="C66" s="315">
        <v>0.15</v>
      </c>
      <c r="D66" s="316">
        <f ca="1">+NPV(C66,D63:N63)</f>
        <v>56125744.001504712</v>
      </c>
      <c r="E66" s="238"/>
      <c r="F66" s="238"/>
      <c r="G66" s="238"/>
      <c r="H66" s="258"/>
      <c r="I66" s="238"/>
      <c r="J66" s="238"/>
      <c r="K66" s="238"/>
      <c r="L66" s="238"/>
      <c r="M66" s="239"/>
      <c r="N66" s="238"/>
    </row>
    <row r="67" spans="2:14" ht="19" customHeight="1" x14ac:dyDescent="0.35">
      <c r="B67" s="237" t="s">
        <v>510</v>
      </c>
      <c r="C67" s="267"/>
      <c r="D67" s="317">
        <f ca="1">+('S&amp;U'!$Q$17*Assumptions!$N$149+'S&amp;U'!$Q$18*Assumptions!$N$155+'S&amp;U'!Q19*Assumptions!$N$161)/SUM('S&amp;U'!$Q$17:$Q$19)</f>
        <v>0.67772159925576803</v>
      </c>
      <c r="E67" s="238"/>
      <c r="F67" s="238"/>
      <c r="J67" s="238"/>
      <c r="K67" s="238"/>
      <c r="L67" s="238"/>
      <c r="M67" s="239"/>
      <c r="N67" s="238"/>
    </row>
    <row r="68" spans="2:14" ht="19" customHeight="1" x14ac:dyDescent="0.35">
      <c r="B68" s="267" t="s">
        <v>440</v>
      </c>
      <c r="C68" s="267"/>
      <c r="D68" s="317">
        <f ca="1">+Assumptions!$E$4</f>
        <v>0.13026177012390683</v>
      </c>
      <c r="E68" s="238"/>
      <c r="F68" s="238"/>
      <c r="G68" s="310" t="s">
        <v>450</v>
      </c>
      <c r="H68" s="238"/>
      <c r="I68" s="238"/>
      <c r="J68" s="553">
        <f ca="1">+Budget!G24+'Public Benefits'!F11</f>
        <v>57315295.526066996</v>
      </c>
      <c r="K68" s="238"/>
      <c r="L68" s="238"/>
      <c r="M68" s="239"/>
      <c r="N68" s="238"/>
    </row>
    <row r="69" spans="2:14" ht="19" customHeight="1" x14ac:dyDescent="0.35">
      <c r="B69" s="267" t="s">
        <v>439</v>
      </c>
      <c r="C69" s="267"/>
      <c r="D69" s="317">
        <f ca="1">+Assumptions!$E$3</f>
        <v>0.22324328826435935</v>
      </c>
    </row>
    <row r="70" spans="2:14" ht="19" customHeight="1" x14ac:dyDescent="0.35">
      <c r="B70" s="251" t="s">
        <v>765</v>
      </c>
      <c r="C70" s="738"/>
      <c r="D70" s="318">
        <f ca="1">+Assumptions!M3</f>
        <v>0.30439856080056821</v>
      </c>
      <c r="E70" s="236"/>
      <c r="F70" s="236"/>
      <c r="G70" s="311" t="s">
        <v>46</v>
      </c>
      <c r="H70" s="236"/>
      <c r="I70" s="236"/>
      <c r="J70" s="320">
        <f ca="1">+N56</f>
        <v>1193317734.3381302</v>
      </c>
      <c r="K70" s="321"/>
      <c r="L70" s="236"/>
      <c r="M70" s="264"/>
      <c r="N70" s="236"/>
    </row>
    <row r="71" spans="2:14" ht="38" customHeight="1" x14ac:dyDescent="0.35">
      <c r="B71" s="783" t="s">
        <v>449</v>
      </c>
      <c r="C71" s="783"/>
      <c r="D71" s="783"/>
      <c r="E71" s="783"/>
      <c r="F71" s="783"/>
      <c r="G71" s="783"/>
      <c r="H71" s="783"/>
      <c r="I71" s="783"/>
      <c r="J71" s="783"/>
      <c r="K71" s="783"/>
      <c r="L71" s="783"/>
      <c r="M71" s="783"/>
      <c r="N71" s="783"/>
    </row>
    <row r="72" spans="2:14" ht="38" customHeight="1" x14ac:dyDescent="0.35">
      <c r="B72" s="783" t="s">
        <v>451</v>
      </c>
      <c r="C72" s="783"/>
      <c r="D72" s="783"/>
      <c r="E72" s="783"/>
      <c r="F72" s="783"/>
      <c r="G72" s="783"/>
      <c r="H72" s="783"/>
      <c r="I72" s="783"/>
      <c r="J72" s="783"/>
      <c r="K72" s="783"/>
      <c r="L72" s="783"/>
      <c r="M72" s="783"/>
      <c r="N72" s="783"/>
    </row>
    <row r="73" spans="2:14" ht="19" customHeight="1" x14ac:dyDescent="0.35">
      <c r="N73" s="254"/>
    </row>
    <row r="74" spans="2:14" s="583" customFormat="1" ht="19" customHeight="1" x14ac:dyDescent="0.35">
      <c r="B74" s="37" t="s">
        <v>23</v>
      </c>
      <c r="C74" s="38"/>
      <c r="D74" s="38"/>
      <c r="E74" s="37"/>
      <c r="F74" s="46"/>
      <c r="G74" s="46"/>
      <c r="H74" s="46"/>
      <c r="I74" s="782"/>
      <c r="J74" s="782"/>
      <c r="K74" s="782"/>
      <c r="L74" s="782"/>
      <c r="M74" s="782"/>
      <c r="N74" s="782"/>
    </row>
    <row r="75" spans="2:14" ht="19" customHeight="1" x14ac:dyDescent="0.35">
      <c r="D75" s="409"/>
      <c r="E75" s="789" t="s">
        <v>18</v>
      </c>
      <c r="F75" s="789"/>
      <c r="G75" s="789"/>
      <c r="H75" s="789"/>
      <c r="I75" s="789"/>
      <c r="J75" s="789"/>
      <c r="K75" s="789"/>
      <c r="L75" s="789"/>
      <c r="M75" s="789"/>
      <c r="N75" s="789"/>
    </row>
    <row r="76" spans="2:14" s="754" customFormat="1" ht="19" customHeight="1" x14ac:dyDescent="0.35">
      <c r="B76" s="233"/>
      <c r="C76" s="233"/>
      <c r="D76" s="250" t="s">
        <v>12</v>
      </c>
      <c r="E76" s="407">
        <f>+E6</f>
        <v>2021</v>
      </c>
      <c r="F76" s="407">
        <f t="shared" ref="F76:L76" si="14">E76+1</f>
        <v>2022</v>
      </c>
      <c r="G76" s="407">
        <f t="shared" si="14"/>
        <v>2023</v>
      </c>
      <c r="H76" s="407">
        <f t="shared" si="14"/>
        <v>2024</v>
      </c>
      <c r="I76" s="407">
        <f t="shared" si="14"/>
        <v>2025</v>
      </c>
      <c r="J76" s="407">
        <f t="shared" si="14"/>
        <v>2026</v>
      </c>
      <c r="K76" s="407">
        <f t="shared" si="14"/>
        <v>2027</v>
      </c>
      <c r="L76" s="407">
        <f t="shared" si="14"/>
        <v>2028</v>
      </c>
      <c r="M76" s="407">
        <f>L76+1</f>
        <v>2029</v>
      </c>
      <c r="N76" s="407">
        <f>M76+1</f>
        <v>2030</v>
      </c>
    </row>
    <row r="77" spans="2:14" ht="19" customHeight="1" x14ac:dyDescent="0.35">
      <c r="B77" s="265" t="s">
        <v>6</v>
      </c>
      <c r="C77" s="265"/>
      <c r="D77" s="322"/>
      <c r="E77" s="231"/>
      <c r="F77" s="231"/>
      <c r="G77" s="231"/>
      <c r="H77" s="231"/>
      <c r="I77" s="231"/>
      <c r="J77" s="231"/>
      <c r="K77" s="231"/>
      <c r="L77" s="231"/>
      <c r="M77" s="323"/>
      <c r="N77" s="231"/>
    </row>
    <row r="78" spans="2:14" ht="19" customHeight="1" x14ac:dyDescent="0.35">
      <c r="B78" s="294" t="s">
        <v>433</v>
      </c>
      <c r="C78" s="261"/>
      <c r="D78" s="234" t="s">
        <v>13</v>
      </c>
      <c r="E78" s="262">
        <f>+SUMIF('Phase I Pro Forma'!$F$6:$Z$6,'Official Summary'!E$7,'Phase I Pro Forma'!$F$33:$Z$33)+SUMIF('Phase II Pro Forma'!$F$6:$Z$6,'Official Summary'!E$7,'Phase II Pro Forma'!$F$33:$Z$33)+SUMIF('Phase III Pro Forma'!$F$6:$Z$6,'Official Summary'!E$7,'Phase III Pro Forma'!$F$33:$Z$33)</f>
        <v>0</v>
      </c>
      <c r="F78" s="262">
        <f>+SUMIF('Phase I Pro Forma'!$F$6:$Z$6,'Official Summary'!F$7,'Phase I Pro Forma'!$F$33:$Z$33)+SUMIF('Phase II Pro Forma'!$F$6:$Z$6,'Official Summary'!F$7,'Phase II Pro Forma'!$F$33:$Z$33)+SUMIF('Phase III Pro Forma'!$F$6:$Z$6,'Official Summary'!F$7,'Phase III Pro Forma'!$F$33:$Z$33)</f>
        <v>0</v>
      </c>
      <c r="G78" s="262">
        <f>+SUMIF('Phase I Pro Forma'!$F$6:$Z$6,'Official Summary'!G$7,'Phase I Pro Forma'!$F$33:$Z$33)+SUMIF('Phase II Pro Forma'!$F$6:$Z$6,'Official Summary'!G$7,'Phase II Pro Forma'!$F$33:$Z$33)+SUMIF('Phase III Pro Forma'!$F$6:$Z$6,'Official Summary'!G$7,'Phase III Pro Forma'!$F$33:$Z$33)</f>
        <v>299.17097388150785</v>
      </c>
      <c r="H78" s="262">
        <f>+SUMIF('Phase I Pro Forma'!$F$6:$Z$6,'Official Summary'!H$7,'Phase I Pro Forma'!$F$33:$Z$33)+SUMIF('Phase II Pro Forma'!$F$6:$Z$6,'Official Summary'!H$7,'Phase II Pro Forma'!$F$33:$Z$33)+SUMIF('Phase III Pro Forma'!$F$6:$Z$6,'Official Summary'!H$7,'Phase III Pro Forma'!$F$33:$Z$33)</f>
        <v>299.17097388150785</v>
      </c>
      <c r="I78" s="262">
        <f>+SUMIF('Phase I Pro Forma'!$F$6:$Z$6,'Official Summary'!I$7,'Phase I Pro Forma'!$F$33:$Z$33)+SUMIF('Phase II Pro Forma'!$F$6:$Z$6,'Official Summary'!I$7,'Phase II Pro Forma'!$F$33:$Z$33)+SUMIF('Phase III Pro Forma'!$F$6:$Z$6,'Official Summary'!I$7,'Phase III Pro Forma'!$F$33:$Z$33)</f>
        <v>207.8197583636364</v>
      </c>
      <c r="J78" s="262">
        <f>+SUMIF('Phase I Pro Forma'!$F$6:$Z$6,'Official Summary'!J$7,'Phase I Pro Forma'!$F$33:$Z$33)+SUMIF('Phase II Pro Forma'!$F$6:$Z$6,'Official Summary'!J$7,'Phase II Pro Forma'!$F$33:$Z$33)+SUMIF('Phase III Pro Forma'!$F$6:$Z$6,'Official Summary'!J$7,'Phase III Pro Forma'!$F$33:$Z$33)</f>
        <v>207.8197583636364</v>
      </c>
      <c r="K78" s="262">
        <f>+SUMIF('Phase I Pro Forma'!$F$6:$Z$6,'Official Summary'!K$7,'Phase I Pro Forma'!$F$33:$Z$33)+SUMIF('Phase II Pro Forma'!$F$6:$Z$6,'Official Summary'!K$7,'Phase II Pro Forma'!$F$33:$Z$33)+SUMIF('Phase III Pro Forma'!$F$6:$Z$6,'Official Summary'!K$7,'Phase III Pro Forma'!$F$33:$Z$33)</f>
        <v>250.00063067863113</v>
      </c>
      <c r="L78" s="262">
        <f>+SUMIF('Phase I Pro Forma'!$F$6:$Z$6,'Official Summary'!L$7,'Phase I Pro Forma'!$F$33:$Z$33)+SUMIF('Phase II Pro Forma'!$F$6:$Z$6,'Official Summary'!L$7,'Phase II Pro Forma'!$F$33:$Z$33)+SUMIF('Phase III Pro Forma'!$F$6:$Z$6,'Official Summary'!L$7,'Phase III Pro Forma'!$F$33:$Z$33)</f>
        <v>250.00063067863113</v>
      </c>
      <c r="M78" s="262">
        <f>+SUMIF('Phase I Pro Forma'!$F$6:$Z$6,'Official Summary'!M$7,'Phase I Pro Forma'!$F$33:$Z$33)+SUMIF('Phase II Pro Forma'!$F$6:$Z$6,'Official Summary'!M$7,'Phase II Pro Forma'!$F$33:$Z$33)+SUMIF('Phase III Pro Forma'!$F$6:$Z$6,'Official Summary'!M$7,'Phase III Pro Forma'!$F$33:$Z$33)</f>
        <v>0</v>
      </c>
      <c r="N78" s="262">
        <f>+SUMIF('Phase I Pro Forma'!$F$6:$Z$6,'Official Summary'!N$7,'Phase I Pro Forma'!$F$33:$Z$33)+SUMIF('Phase II Pro Forma'!$F$6:$Z$6,'Official Summary'!N$7,'Phase II Pro Forma'!$F$33:$Z$33)+SUMIF('Phase III Pro Forma'!$F$6:$Z$6,'Official Summary'!N$7,'Phase III Pro Forma'!$F$33:$Z$33)</f>
        <v>0</v>
      </c>
    </row>
    <row r="79" spans="2:14" ht="19" customHeight="1" x14ac:dyDescent="0.35">
      <c r="B79" s="294" t="s">
        <v>432</v>
      </c>
      <c r="C79" s="261"/>
      <c r="D79" s="234" t="s">
        <v>13</v>
      </c>
      <c r="E79" s="262" t="s">
        <v>497</v>
      </c>
      <c r="F79" s="262" t="s">
        <v>497</v>
      </c>
      <c r="G79" s="262" t="s">
        <v>497</v>
      </c>
      <c r="H79" s="262" t="s">
        <v>497</v>
      </c>
      <c r="I79" s="262" t="s">
        <v>497</v>
      </c>
      <c r="J79" s="262" t="s">
        <v>497</v>
      </c>
      <c r="K79" s="262" t="s">
        <v>497</v>
      </c>
      <c r="L79" s="262" t="s">
        <v>497</v>
      </c>
      <c r="M79" s="262" t="s">
        <v>497</v>
      </c>
      <c r="N79" s="262" t="s">
        <v>497</v>
      </c>
    </row>
    <row r="80" spans="2:14" ht="19" customHeight="1" x14ac:dyDescent="0.35">
      <c r="B80" s="294" t="s">
        <v>429</v>
      </c>
      <c r="C80" s="338"/>
      <c r="D80" s="234" t="s">
        <v>13</v>
      </c>
      <c r="E80" s="262" t="s">
        <v>497</v>
      </c>
      <c r="F80" s="262" t="s">
        <v>497</v>
      </c>
      <c r="G80" s="262" t="s">
        <v>497</v>
      </c>
      <c r="H80" s="262" t="s">
        <v>497</v>
      </c>
      <c r="I80" s="262" t="s">
        <v>497</v>
      </c>
      <c r="J80" s="262" t="s">
        <v>497</v>
      </c>
      <c r="K80" s="262" t="s">
        <v>497</v>
      </c>
      <c r="L80" s="262" t="s">
        <v>497</v>
      </c>
      <c r="M80" s="262" t="s">
        <v>497</v>
      </c>
      <c r="N80" s="262" t="s">
        <v>497</v>
      </c>
    </row>
    <row r="81" spans="2:14" ht="19" customHeight="1" x14ac:dyDescent="0.35">
      <c r="B81" s="294" t="s">
        <v>430</v>
      </c>
      <c r="C81" s="261"/>
      <c r="D81" s="234" t="s">
        <v>13</v>
      </c>
      <c r="E81" s="262">
        <f>+SUMIF('Phase I Pro Forma'!$F$6:$Z$6,'Official Summary'!E$7,'Phase I Pro Forma'!$F$10:$Z$10)+SUMIF('Phase II Pro Forma'!$F$6:$Z$6,'Official Summary'!E$7,'Phase II Pro Forma'!$F$10:$Z$10)+SUMIF('Phase III Pro Forma'!$F$6:$Z$6,'Official Summary'!E$7,'Phase III Pro Forma'!$F$10:$Z$10)</f>
        <v>0</v>
      </c>
      <c r="F81" s="262">
        <f>+SUMIF('Phase I Pro Forma'!$F$6:$Z$6,'Official Summary'!F$7,'Phase I Pro Forma'!$F$10:$Z$10)+SUMIF('Phase II Pro Forma'!$F$6:$Z$6,'Official Summary'!F$7,'Phase II Pro Forma'!$F$10:$Z$10)+SUMIF('Phase III Pro Forma'!$F$6:$Z$6,'Official Summary'!F$7,'Phase III Pro Forma'!$F$10:$Z$10)</f>
        <v>0</v>
      </c>
      <c r="G81" s="262">
        <f>+SUMIF('Phase I Pro Forma'!$F$6:$Z$6,'Official Summary'!G$7,'Phase I Pro Forma'!$F$10:$Z$10)+SUMIF('Phase II Pro Forma'!$F$6:$Z$6,'Official Summary'!G$7,'Phase II Pro Forma'!$F$10:$Z$10)+SUMIF('Phase III Pro Forma'!$F$6:$Z$6,'Official Summary'!G$7,'Phase III Pro Forma'!$F$10:$Z$10)</f>
        <v>74.792743470376962</v>
      </c>
      <c r="H81" s="262">
        <f>+SUMIF('Phase I Pro Forma'!$F$6:$Z$6,'Official Summary'!H$7,'Phase I Pro Forma'!$F$10:$Z$10)+SUMIF('Phase II Pro Forma'!$F$6:$Z$6,'Official Summary'!H$7,'Phase II Pro Forma'!$F$10:$Z$10)+SUMIF('Phase III Pro Forma'!$F$6:$Z$6,'Official Summary'!H$7,'Phase III Pro Forma'!$F$10:$Z$10)</f>
        <v>74.792743470376962</v>
      </c>
      <c r="I81" s="262">
        <f>+SUMIF('Phase I Pro Forma'!$F$6:$Z$6,'Official Summary'!I$7,'Phase I Pro Forma'!$F$10:$Z$10)+SUMIF('Phase II Pro Forma'!$F$6:$Z$6,'Official Summary'!I$7,'Phase II Pro Forma'!$F$10:$Z$10)+SUMIF('Phase III Pro Forma'!$F$6:$Z$6,'Official Summary'!I$7,'Phase III Pro Forma'!$F$10:$Z$10)</f>
        <v>51.954939590909099</v>
      </c>
      <c r="J81" s="262">
        <f>+SUMIF('Phase I Pro Forma'!$F$6:$Z$6,'Official Summary'!J$7,'Phase I Pro Forma'!$F$10:$Z$10)+SUMIF('Phase II Pro Forma'!$F$6:$Z$6,'Official Summary'!J$7,'Phase II Pro Forma'!$F$10:$Z$10)+SUMIF('Phase III Pro Forma'!$F$6:$Z$6,'Official Summary'!J$7,'Phase III Pro Forma'!$F$10:$Z$10)</f>
        <v>51.954939590909099</v>
      </c>
      <c r="K81" s="262">
        <f>+SUMIF('Phase I Pro Forma'!$F$6:$Z$6,'Official Summary'!K$7,'Phase I Pro Forma'!$F$10:$Z$10)+SUMIF('Phase II Pro Forma'!$F$6:$Z$6,'Official Summary'!K$7,'Phase II Pro Forma'!$F$10:$Z$10)+SUMIF('Phase III Pro Forma'!$F$6:$Z$6,'Official Summary'!K$7,'Phase III Pro Forma'!$F$10:$Z$10)</f>
        <v>62.500157669657781</v>
      </c>
      <c r="L81" s="262">
        <f>+SUMIF('Phase I Pro Forma'!$F$6:$Z$6,'Official Summary'!L$7,'Phase I Pro Forma'!$F$10:$Z$10)+SUMIF('Phase II Pro Forma'!$F$6:$Z$6,'Official Summary'!L$7,'Phase II Pro Forma'!$F$10:$Z$10)+SUMIF('Phase III Pro Forma'!$F$6:$Z$6,'Official Summary'!L$7,'Phase III Pro Forma'!$F$10:$Z$10)</f>
        <v>62.500157669657781</v>
      </c>
      <c r="M81" s="262">
        <f>+SUMIF('Phase I Pro Forma'!$F$6:$Z$6,'Official Summary'!M$7,'Phase I Pro Forma'!$F$10:$Z$10)+SUMIF('Phase II Pro Forma'!$F$6:$Z$6,'Official Summary'!M$7,'Phase II Pro Forma'!$F$10:$Z$10)+SUMIF('Phase III Pro Forma'!$F$6:$Z$6,'Official Summary'!M$7,'Phase III Pro Forma'!$F$10:$Z$10)</f>
        <v>0</v>
      </c>
      <c r="N81" s="262">
        <f>+SUMIF('Phase I Pro Forma'!$F$6:$Z$6,'Official Summary'!N$7,'Phase I Pro Forma'!$F$10:$Z$10)+SUMIF('Phase II Pro Forma'!$F$6:$Z$6,'Official Summary'!N$7,'Phase II Pro Forma'!$F$10:$Z$10)+SUMIF('Phase III Pro Forma'!$F$6:$Z$6,'Official Summary'!N$7,'Phase III Pro Forma'!$F$10:$Z$10)</f>
        <v>0</v>
      </c>
    </row>
    <row r="82" spans="2:14" ht="19" customHeight="1" x14ac:dyDescent="0.35">
      <c r="B82" s="294" t="s">
        <v>431</v>
      </c>
      <c r="C82" s="261"/>
      <c r="D82" s="234" t="s">
        <v>13</v>
      </c>
      <c r="E82" s="262" t="s">
        <v>497</v>
      </c>
      <c r="F82" s="262" t="s">
        <v>497</v>
      </c>
      <c r="G82" s="262" t="s">
        <v>497</v>
      </c>
      <c r="H82" s="262" t="s">
        <v>497</v>
      </c>
      <c r="I82" s="262" t="s">
        <v>497</v>
      </c>
      <c r="J82" s="262" t="s">
        <v>497</v>
      </c>
      <c r="K82" s="262" t="s">
        <v>497</v>
      </c>
      <c r="L82" s="262" t="s">
        <v>497</v>
      </c>
      <c r="M82" s="262" t="s">
        <v>497</v>
      </c>
      <c r="N82" s="262" t="s">
        <v>497</v>
      </c>
    </row>
    <row r="83" spans="2:14" ht="19" customHeight="1" x14ac:dyDescent="0.35">
      <c r="B83" s="340" t="s">
        <v>24</v>
      </c>
      <c r="C83" s="338"/>
      <c r="D83" s="234" t="s">
        <v>495</v>
      </c>
      <c r="E83" s="382" t="s">
        <v>497</v>
      </c>
      <c r="F83" s="382" t="s">
        <v>497</v>
      </c>
      <c r="G83" s="382" t="s">
        <v>497</v>
      </c>
      <c r="H83" s="382" t="s">
        <v>497</v>
      </c>
      <c r="I83" s="382" t="s">
        <v>497</v>
      </c>
      <c r="J83" s="382" t="s">
        <v>497</v>
      </c>
      <c r="K83" s="382" t="s">
        <v>497</v>
      </c>
      <c r="L83" s="382" t="s">
        <v>497</v>
      </c>
      <c r="M83" s="382" t="s">
        <v>497</v>
      </c>
      <c r="N83" s="382" t="s">
        <v>497</v>
      </c>
    </row>
    <row r="84" spans="2:14" ht="19" customHeight="1" x14ac:dyDescent="0.35">
      <c r="B84" s="340" t="s">
        <v>25</v>
      </c>
      <c r="C84" s="338"/>
      <c r="D84" s="234" t="s">
        <v>495</v>
      </c>
      <c r="E84" s="382" t="s">
        <v>497</v>
      </c>
      <c r="F84" s="382" t="s">
        <v>497</v>
      </c>
      <c r="G84" s="382" t="s">
        <v>497</v>
      </c>
      <c r="H84" s="382" t="s">
        <v>497</v>
      </c>
      <c r="I84" s="382" t="s">
        <v>497</v>
      </c>
      <c r="J84" s="382" t="s">
        <v>497</v>
      </c>
      <c r="K84" s="382" t="s">
        <v>497</v>
      </c>
      <c r="L84" s="382" t="s">
        <v>497</v>
      </c>
      <c r="M84" s="382" t="s">
        <v>497</v>
      </c>
      <c r="N84" s="382" t="s">
        <v>497</v>
      </c>
    </row>
    <row r="85" spans="2:14" ht="19" customHeight="1" x14ac:dyDescent="0.35">
      <c r="B85" s="340" t="s">
        <v>147</v>
      </c>
      <c r="C85" s="338"/>
      <c r="D85" s="234" t="s">
        <v>495</v>
      </c>
      <c r="E85" s="382" t="s">
        <v>497</v>
      </c>
      <c r="F85" s="382" t="s">
        <v>497</v>
      </c>
      <c r="G85" s="382" t="s">
        <v>497</v>
      </c>
      <c r="H85" s="382" t="s">
        <v>497</v>
      </c>
      <c r="I85" s="382" t="s">
        <v>497</v>
      </c>
      <c r="J85" s="382" t="s">
        <v>497</v>
      </c>
      <c r="K85" s="382" t="s">
        <v>497</v>
      </c>
      <c r="L85" s="382" t="s">
        <v>497</v>
      </c>
      <c r="M85" s="382" t="s">
        <v>497</v>
      </c>
      <c r="N85" s="382" t="s">
        <v>497</v>
      </c>
    </row>
    <row r="86" spans="2:14" ht="19" customHeight="1" x14ac:dyDescent="0.35">
      <c r="B86" s="340" t="s">
        <v>26</v>
      </c>
      <c r="C86" s="341"/>
      <c r="D86" s="234" t="s">
        <v>15</v>
      </c>
      <c r="E86" s="262">
        <f>+SUMIF('Phase I Pro Forma'!$F$6:$Z$6,'Official Summary'!E$7,'Phase I Pro Forma'!$F$167:$Z$167)+SUMIF('Phase II Pro Forma'!$F$6:$Z$6,'Official Summary'!E$7,'Phase II Pro Forma'!$F$167:$Z$167)+SUMIF('Phase III Pro Forma'!$F$6:$Z$6,'Official Summary'!E$7,'Phase III Pro Forma'!$F$167:$Z$167)</f>
        <v>0</v>
      </c>
      <c r="F86" s="262">
        <f>+SUMIF('Phase I Pro Forma'!$F$6:$Z$6,'Official Summary'!F$7,'Phase I Pro Forma'!$F$167:$Z$167)+SUMIF('Phase II Pro Forma'!$F$6:$Z$6,'Official Summary'!F$7,'Phase II Pro Forma'!$F$167:$Z$167)+SUMIF('Phase III Pro Forma'!$F$6:$Z$6,'Official Summary'!F$7,'Phase III Pro Forma'!$F$167:$Z$167)</f>
        <v>0</v>
      </c>
      <c r="G86" s="262">
        <f>+SUMIF('Phase I Pro Forma'!$F$6:$Z$6,'Official Summary'!G$7,'Phase I Pro Forma'!$F$167:$Z$167)+SUMIF('Phase II Pro Forma'!$F$6:$Z$6,'Official Summary'!G$7,'Phase II Pro Forma'!$F$167:$Z$167)+SUMIF('Phase III Pro Forma'!$F$6:$Z$6,'Official Summary'!G$7,'Phase III Pro Forma'!$F$167:$Z$167)</f>
        <v>173.40350000000004</v>
      </c>
      <c r="H86" s="262">
        <f>+SUMIF('Phase I Pro Forma'!$F$6:$Z$6,'Official Summary'!H$7,'Phase I Pro Forma'!$F$167:$Z$167)+SUMIF('Phase II Pro Forma'!$F$6:$Z$6,'Official Summary'!H$7,'Phase II Pro Forma'!$F$167:$Z$167)+SUMIF('Phase III Pro Forma'!$F$6:$Z$6,'Official Summary'!H$7,'Phase III Pro Forma'!$F$167:$Z$167)</f>
        <v>173.40350000000004</v>
      </c>
      <c r="I86" s="262">
        <f>+SUMIF('Phase I Pro Forma'!$F$6:$Z$6,'Official Summary'!I$7,'Phase I Pro Forma'!$F$167:$Z$167)+SUMIF('Phase II Pro Forma'!$F$6:$Z$6,'Official Summary'!I$7,'Phase II Pro Forma'!$F$167:$Z$167)+SUMIF('Phase III Pro Forma'!$F$6:$Z$6,'Official Summary'!I$7,'Phase III Pro Forma'!$F$167:$Z$167)</f>
        <v>115.94133333333335</v>
      </c>
      <c r="J86" s="262">
        <f>+SUMIF('Phase I Pro Forma'!$F$6:$Z$6,'Official Summary'!J$7,'Phase I Pro Forma'!$F$167:$Z$167)+SUMIF('Phase II Pro Forma'!$F$6:$Z$6,'Official Summary'!J$7,'Phase II Pro Forma'!$F$167:$Z$167)+SUMIF('Phase III Pro Forma'!$F$6:$Z$6,'Official Summary'!J$7,'Phase III Pro Forma'!$F$167:$Z$167)</f>
        <v>115.94133333333335</v>
      </c>
      <c r="K86" s="262">
        <f>+SUMIF('Phase I Pro Forma'!$F$6:$Z$6,'Official Summary'!K$7,'Phase I Pro Forma'!$F$167:$Z$167)+SUMIF('Phase II Pro Forma'!$F$6:$Z$6,'Official Summary'!K$7,'Phase II Pro Forma'!$F$167:$Z$167)+SUMIF('Phase III Pro Forma'!$F$6:$Z$6,'Official Summary'!K$7,'Phase III Pro Forma'!$F$167:$Z$167)</f>
        <v>18.638844444444445</v>
      </c>
      <c r="L86" s="262">
        <f>+SUMIF('Phase I Pro Forma'!$F$6:$Z$6,'Official Summary'!L$7,'Phase I Pro Forma'!$F$167:$Z$167)+SUMIF('Phase II Pro Forma'!$F$6:$Z$6,'Official Summary'!L$7,'Phase II Pro Forma'!$F$167:$Z$167)+SUMIF('Phase III Pro Forma'!$F$6:$Z$6,'Official Summary'!L$7,'Phase III Pro Forma'!$F$167:$Z$167)</f>
        <v>18.638844444444445</v>
      </c>
      <c r="M86" s="262">
        <f>+SUMIF('Phase I Pro Forma'!$F$6:$Z$6,'Official Summary'!M$7,'Phase I Pro Forma'!$F$167:$Z$167)+SUMIF('Phase II Pro Forma'!$F$6:$Z$6,'Official Summary'!M$7,'Phase II Pro Forma'!$F$167:$Z$167)+SUMIF('Phase III Pro Forma'!$F$6:$Z$6,'Official Summary'!M$7,'Phase III Pro Forma'!$F$167:$Z$167)</f>
        <v>0</v>
      </c>
      <c r="N86" s="262">
        <f>+SUMIF('Phase I Pro Forma'!$F$6:$Z$6,'Official Summary'!N$7,'Phase I Pro Forma'!$F$167:$Z$167)+SUMIF('Phase II Pro Forma'!$F$6:$Z$6,'Official Summary'!N$7,'Phase II Pro Forma'!$F$167:$Z$167)+SUMIF('Phase III Pro Forma'!$F$6:$Z$6,'Official Summary'!N$7,'Phase III Pro Forma'!$F$167:$Z$167)</f>
        <v>0</v>
      </c>
    </row>
    <row r="87" spans="2:14" ht="19" customHeight="1" x14ac:dyDescent="0.35">
      <c r="B87" s="340" t="s">
        <v>27</v>
      </c>
      <c r="C87" s="341"/>
      <c r="D87" s="234" t="s">
        <v>16</v>
      </c>
      <c r="E87" s="262">
        <f>+SUMIF('Phase I Pro Forma'!$F$6:$Z$6,'Official Summary'!E$7,'Phase I Pro Forma'!$F$118:$Z$118)*(Assumptions!$F$177/SUM(Assumptions!$F$177,Assumptions!$F$191))+SUMIF('Phase II Pro Forma'!$F$6:$Z$6,'Official Summary'!E$7,'Phase II Pro Forma'!$F$118:$Z$118)*(Assumptions!$G$177/SUM(Assumptions!$G$177,Assumptions!$G$191))+SUMIF('Phase III Pro Forma'!$F$6:$Z$6,'Official Summary'!E$7,'Phase III Pro Forma'!$F$118:$Z$118)*(Assumptions!$H$177/SUM(Assumptions!$H$177,Assumptions!$H$191))</f>
        <v>0</v>
      </c>
      <c r="F87" s="262">
        <f>+SUMIF('Phase I Pro Forma'!$F$6:$Z$6,'Official Summary'!F$7,'Phase I Pro Forma'!$F$118:$Z$118)*(Assumptions!$F$177/SUM(Assumptions!$F$177,Assumptions!$F$191))+SUMIF('Phase II Pro Forma'!$F$6:$Z$6,'Official Summary'!F$7,'Phase II Pro Forma'!$F$118:$Z$118)*(Assumptions!$G$177/SUM(Assumptions!$G$177,Assumptions!$G$191))+SUMIF('Phase III Pro Forma'!$F$6:$Z$6,'Official Summary'!F$7,'Phase III Pro Forma'!$F$118:$Z$118)*(Assumptions!$H$177/SUM(Assumptions!$H$177,Assumptions!$H$191))</f>
        <v>0</v>
      </c>
      <c r="G87" s="262">
        <f>+SUMIF('Phase I Pro Forma'!$F$6:$Z$6,'Official Summary'!G$7,'Phase I Pro Forma'!$F$118:$Z$118)*(Assumptions!$F$177/SUM(Assumptions!$F$177,Assumptions!$F$191))+SUMIF('Phase II Pro Forma'!$F$6:$Z$6,'Official Summary'!G$7,'Phase II Pro Forma'!$F$118:$Z$118)*(Assumptions!$G$177/SUM(Assumptions!$G$177,Assumptions!$G$191))+SUMIF('Phase III Pro Forma'!$F$6:$Z$6,'Official Summary'!G$7,'Phase III Pro Forma'!$F$118:$Z$118)*(Assumptions!$H$177/SUM(Assumptions!$H$177,Assumptions!$H$191))</f>
        <v>125.75757575757575</v>
      </c>
      <c r="H87" s="262">
        <f>+SUMIF('Phase I Pro Forma'!$F$6:$Z$6,'Official Summary'!H$7,'Phase I Pro Forma'!$F$118:$Z$118)*(Assumptions!$F$177/SUM(Assumptions!$F$177,Assumptions!$F$191))+SUMIF('Phase II Pro Forma'!$F$6:$Z$6,'Official Summary'!H$7,'Phase II Pro Forma'!$F$118:$Z$118)*(Assumptions!$G$177/SUM(Assumptions!$G$177,Assumptions!$G$191))+SUMIF('Phase III Pro Forma'!$F$6:$Z$6,'Official Summary'!H$7,'Phase III Pro Forma'!$F$118:$Z$118)*(Assumptions!$H$177/SUM(Assumptions!$H$177,Assumptions!$H$191))</f>
        <v>125.75757575757575</v>
      </c>
      <c r="I87" s="262">
        <f>+SUMIF('Phase I Pro Forma'!$F$6:$Z$6,'Official Summary'!I$7,'Phase I Pro Forma'!$F$118:$Z$118)*(Assumptions!$F$177/SUM(Assumptions!$F$177,Assumptions!$F$191))+SUMIF('Phase II Pro Forma'!$F$6:$Z$6,'Official Summary'!I$7,'Phase II Pro Forma'!$F$118:$Z$118)*(Assumptions!$G$177/SUM(Assumptions!$G$177,Assumptions!$G$191))+SUMIF('Phase III Pro Forma'!$F$6:$Z$6,'Official Summary'!I$7,'Phase III Pro Forma'!$F$118:$Z$118)*(Assumptions!$H$177/SUM(Assumptions!$H$177,Assumptions!$H$191))</f>
        <v>160.60606060606059</v>
      </c>
      <c r="J87" s="262">
        <f>+SUMIF('Phase I Pro Forma'!$F$6:$Z$6,'Official Summary'!J$7,'Phase I Pro Forma'!$F$118:$Z$118)*(Assumptions!$F$177/SUM(Assumptions!$F$177,Assumptions!$F$191))+SUMIF('Phase II Pro Forma'!$F$6:$Z$6,'Official Summary'!J$7,'Phase II Pro Forma'!$F$118:$Z$118)*(Assumptions!$G$177/SUM(Assumptions!$G$177,Assumptions!$G$191))+SUMIF('Phase III Pro Forma'!$F$6:$Z$6,'Official Summary'!J$7,'Phase III Pro Forma'!$F$118:$Z$118)*(Assumptions!$H$177/SUM(Assumptions!$H$177,Assumptions!$H$191))</f>
        <v>160.60606060606059</v>
      </c>
      <c r="K87" s="262">
        <f>+SUMIF('Phase I Pro Forma'!$F$6:$Z$6,'Official Summary'!K$7,'Phase I Pro Forma'!$F$118:$Z$118)*(Assumptions!$F$177/SUM(Assumptions!$F$177,Assumptions!$F$191))+SUMIF('Phase II Pro Forma'!$F$6:$Z$6,'Official Summary'!K$7,'Phase II Pro Forma'!$F$118:$Z$118)*(Assumptions!$G$177/SUM(Assumptions!$G$177,Assumptions!$G$191))+SUMIF('Phase III Pro Forma'!$F$6:$Z$6,'Official Summary'!K$7,'Phase III Pro Forma'!$F$118:$Z$118)*(Assumptions!$H$177/SUM(Assumptions!$H$177,Assumptions!$H$191))</f>
        <v>72.727272727272734</v>
      </c>
      <c r="L87" s="262">
        <f>+SUMIF('Phase I Pro Forma'!$F$6:$Z$6,'Official Summary'!L$7,'Phase I Pro Forma'!$F$118:$Z$118)*(Assumptions!$F$177/SUM(Assumptions!$F$177,Assumptions!$F$191))+SUMIF('Phase II Pro Forma'!$F$6:$Z$6,'Official Summary'!L$7,'Phase II Pro Forma'!$F$118:$Z$118)*(Assumptions!$G$177/SUM(Assumptions!$G$177,Assumptions!$G$191))+SUMIF('Phase III Pro Forma'!$F$6:$Z$6,'Official Summary'!L$7,'Phase III Pro Forma'!$F$118:$Z$118)*(Assumptions!$H$177/SUM(Assumptions!$H$177,Assumptions!$H$191))</f>
        <v>72.727272727272734</v>
      </c>
      <c r="M87" s="262">
        <f>+SUMIF('Phase I Pro Forma'!$F$6:$Z$6,'Official Summary'!M$7,'Phase I Pro Forma'!$F$118:$Z$118)*(Assumptions!$F$177/SUM(Assumptions!$F$177,Assumptions!$F$191))+SUMIF('Phase II Pro Forma'!$F$6:$Z$6,'Official Summary'!M$7,'Phase II Pro Forma'!$F$118:$Z$118)*(Assumptions!$G$177/SUM(Assumptions!$G$177,Assumptions!$G$191))+SUMIF('Phase III Pro Forma'!$F$6:$Z$6,'Official Summary'!M$7,'Phase III Pro Forma'!$F$118:$Z$118)*(Assumptions!$H$177/SUM(Assumptions!$H$177,Assumptions!$H$191))</f>
        <v>0</v>
      </c>
      <c r="N87" s="262">
        <f>+SUMIF('Phase I Pro Forma'!$F$6:$Z$6,'Official Summary'!N$7,'Phase I Pro Forma'!$F$118:$Z$118)*(Assumptions!$F$177/SUM(Assumptions!$F$177,Assumptions!$F$191))+SUMIF('Phase II Pro Forma'!$F$6:$Z$6,'Official Summary'!N$7,'Phase II Pro Forma'!$F$118:$Z$118)*(Assumptions!$G$177/SUM(Assumptions!$G$177,Assumptions!$G$191))+SUMIF('Phase III Pro Forma'!$F$6:$Z$6,'Official Summary'!N$7,'Phase III Pro Forma'!$F$118:$Z$118)*(Assumptions!$H$177/SUM(Assumptions!$H$177,Assumptions!$H$191))</f>
        <v>0</v>
      </c>
    </row>
    <row r="88" spans="2:14" ht="19" customHeight="1" x14ac:dyDescent="0.35">
      <c r="B88" s="340" t="s">
        <v>28</v>
      </c>
      <c r="C88" s="341"/>
      <c r="D88" s="234" t="s">
        <v>16</v>
      </c>
      <c r="E88" s="262">
        <f>+SUMIF('Phase I Pro Forma'!$F$6:$Z$6,'Official Summary'!E$7,'Phase I Pro Forma'!$F$118:$Z$118)*(Assumptions!$F$191/SUM(Assumptions!$F$177,Assumptions!$F$191))+SUMIF('Phase II Pro Forma'!$F$6:$Z$6,'Official Summary'!E$7,'Phase II Pro Forma'!$F$118:$Z$118)*(Assumptions!$G$191/SUM(Assumptions!$G$177,Assumptions!$G$191))+SUMIF('Phase III Pro Forma'!$F$6:$Z$6,'Official Summary'!E$7,'Phase III Pro Forma'!$F$118:$Z$118)*(Assumptions!$H$191/SUM(Assumptions!$H$177,Assumptions!$H$191))</f>
        <v>0</v>
      </c>
      <c r="F88" s="262">
        <f>+SUMIF('Phase I Pro Forma'!$F$6:$Z$6,'Official Summary'!F$7,'Phase I Pro Forma'!$F$118:$Z$118)*(Assumptions!$F$191/SUM(Assumptions!$F$177,Assumptions!$F$191))+SUMIF('Phase II Pro Forma'!$F$6:$Z$6,'Official Summary'!F$7,'Phase II Pro Forma'!$F$118:$Z$118)*(Assumptions!$G$191/SUM(Assumptions!$G$177,Assumptions!$G$191))+SUMIF('Phase III Pro Forma'!$F$6:$Z$6,'Official Summary'!F$7,'Phase III Pro Forma'!$F$118:$Z$118)*(Assumptions!$H$191/SUM(Assumptions!$H$177,Assumptions!$H$191))</f>
        <v>0</v>
      </c>
      <c r="G88" s="262">
        <f>+SUMIF('Phase I Pro Forma'!$F$6:$Z$6,'Official Summary'!G$7,'Phase I Pro Forma'!$F$118:$Z$118)*(Assumptions!$F$191/SUM(Assumptions!$F$177,Assumptions!$F$191))+SUMIF('Phase II Pro Forma'!$F$6:$Z$6,'Official Summary'!G$7,'Phase II Pro Forma'!$F$118:$Z$118)*(Assumptions!$G$191/SUM(Assumptions!$G$177,Assumptions!$G$191))+SUMIF('Phase III Pro Forma'!$F$6:$Z$6,'Official Summary'!G$7,'Phase III Pro Forma'!$F$118:$Z$118)*(Assumptions!$H$191/SUM(Assumptions!$H$177,Assumptions!$H$191))</f>
        <v>0</v>
      </c>
      <c r="H88" s="262">
        <f>+SUMIF('Phase I Pro Forma'!$F$6:$Z$6,'Official Summary'!H$7,'Phase I Pro Forma'!$F$118:$Z$118)*(Assumptions!$F$191/SUM(Assumptions!$F$177,Assumptions!$F$191))+SUMIF('Phase II Pro Forma'!$F$6:$Z$6,'Official Summary'!H$7,'Phase II Pro Forma'!$F$118:$Z$118)*(Assumptions!$G$191/SUM(Assumptions!$G$177,Assumptions!$G$191))+SUMIF('Phase III Pro Forma'!$F$6:$Z$6,'Official Summary'!H$7,'Phase III Pro Forma'!$F$118:$Z$118)*(Assumptions!$H$191/SUM(Assumptions!$H$177,Assumptions!$H$191))</f>
        <v>0</v>
      </c>
      <c r="I88" s="262">
        <f>+SUMIF('Phase I Pro Forma'!$F$6:$Z$6,'Official Summary'!I$7,'Phase I Pro Forma'!$F$118:$Z$118)*(Assumptions!$F$191/SUM(Assumptions!$F$177,Assumptions!$F$191))+SUMIF('Phase II Pro Forma'!$F$6:$Z$6,'Official Summary'!I$7,'Phase II Pro Forma'!$F$118:$Z$118)*(Assumptions!$G$191/SUM(Assumptions!$G$177,Assumptions!$G$191))+SUMIF('Phase III Pro Forma'!$F$6:$Z$6,'Official Summary'!I$7,'Phase III Pro Forma'!$F$118:$Z$118)*(Assumptions!$H$191/SUM(Assumptions!$H$177,Assumptions!$H$191))</f>
        <v>0</v>
      </c>
      <c r="J88" s="262">
        <f>+SUMIF('Phase I Pro Forma'!$F$6:$Z$6,'Official Summary'!J$7,'Phase I Pro Forma'!$F$118:$Z$118)*(Assumptions!$F$191/SUM(Assumptions!$F$177,Assumptions!$F$191))+SUMIF('Phase II Pro Forma'!$F$6:$Z$6,'Official Summary'!J$7,'Phase II Pro Forma'!$F$118:$Z$118)*(Assumptions!$G$191/SUM(Assumptions!$G$177,Assumptions!$G$191))+SUMIF('Phase III Pro Forma'!$F$6:$Z$6,'Official Summary'!J$7,'Phase III Pro Forma'!$F$118:$Z$118)*(Assumptions!$H$191/SUM(Assumptions!$H$177,Assumptions!$H$191))</f>
        <v>0</v>
      </c>
      <c r="K88" s="262">
        <f>+SUMIF('Phase I Pro Forma'!$F$6:$Z$6,'Official Summary'!K$7,'Phase I Pro Forma'!$F$118:$Z$118)*(Assumptions!$F$191/SUM(Assumptions!$F$177,Assumptions!$F$191))+SUMIF('Phase II Pro Forma'!$F$6:$Z$6,'Official Summary'!K$7,'Phase II Pro Forma'!$F$118:$Z$118)*(Assumptions!$G$191/SUM(Assumptions!$G$177,Assumptions!$G$191))+SUMIF('Phase III Pro Forma'!$F$6:$Z$6,'Official Summary'!K$7,'Phase III Pro Forma'!$F$118:$Z$118)*(Assumptions!$H$191/SUM(Assumptions!$H$177,Assumptions!$H$191))</f>
        <v>227.27272727272728</v>
      </c>
      <c r="L88" s="262">
        <f>+SUMIF('Phase I Pro Forma'!$F$6:$Z$6,'Official Summary'!L$7,'Phase I Pro Forma'!$F$118:$Z$118)*(Assumptions!$F$191/SUM(Assumptions!$F$177,Assumptions!$F$191))+SUMIF('Phase II Pro Forma'!$F$6:$Z$6,'Official Summary'!L$7,'Phase II Pro Forma'!$F$118:$Z$118)*(Assumptions!$G$191/SUM(Assumptions!$G$177,Assumptions!$G$191))+SUMIF('Phase III Pro Forma'!$F$6:$Z$6,'Official Summary'!L$7,'Phase III Pro Forma'!$F$118:$Z$118)*(Assumptions!$H$191/SUM(Assumptions!$H$177,Assumptions!$H$191))</f>
        <v>227.27272727272728</v>
      </c>
      <c r="M88" s="262">
        <f>+SUMIF('Phase I Pro Forma'!$F$6:$Z$6,'Official Summary'!M$7,'Phase I Pro Forma'!$F$118:$Z$118)*(Assumptions!$F$191/SUM(Assumptions!$F$177,Assumptions!$F$191))+SUMIF('Phase II Pro Forma'!$F$6:$Z$6,'Official Summary'!M$7,'Phase II Pro Forma'!$F$118:$Z$118)*(Assumptions!$G$191/SUM(Assumptions!$G$177,Assumptions!$G$191))+SUMIF('Phase III Pro Forma'!$F$6:$Z$6,'Official Summary'!M$7,'Phase III Pro Forma'!$F$118:$Z$118)*(Assumptions!$H$191/SUM(Assumptions!$H$177,Assumptions!$H$191))</f>
        <v>0</v>
      </c>
      <c r="N88" s="262">
        <f>+SUMIF('Phase I Pro Forma'!$F$6:$Z$6,'Official Summary'!N$7,'Phase I Pro Forma'!$F$118:$Z$118)*(Assumptions!$F$191/SUM(Assumptions!$F$177,Assumptions!$F$191))+SUMIF('Phase II Pro Forma'!$F$6:$Z$6,'Official Summary'!N$7,'Phase II Pro Forma'!$F$118:$Z$118)*(Assumptions!$G$191/SUM(Assumptions!$G$177,Assumptions!$G$191))+SUMIF('Phase III Pro Forma'!$F$6:$Z$6,'Official Summary'!N$7,'Phase III Pro Forma'!$F$118:$Z$118)*(Assumptions!$H$191/SUM(Assumptions!$H$177,Assumptions!$H$191))</f>
        <v>0</v>
      </c>
    </row>
    <row r="89" spans="2:14" ht="19" customHeight="1" x14ac:dyDescent="0.35">
      <c r="B89" s="340" t="s">
        <v>48</v>
      </c>
      <c r="C89" s="341"/>
      <c r="D89" s="234" t="s">
        <v>16</v>
      </c>
      <c r="E89" s="262" t="s">
        <v>497</v>
      </c>
      <c r="F89" s="262" t="s">
        <v>497</v>
      </c>
      <c r="G89" s="262" t="s">
        <v>497</v>
      </c>
      <c r="H89" s="262" t="s">
        <v>497</v>
      </c>
      <c r="I89" s="262" t="s">
        <v>497</v>
      </c>
      <c r="J89" s="262" t="s">
        <v>497</v>
      </c>
      <c r="K89" s="262" t="s">
        <v>497</v>
      </c>
      <c r="L89" s="262" t="s">
        <v>497</v>
      </c>
      <c r="M89" s="262" t="s">
        <v>497</v>
      </c>
      <c r="N89" s="262" t="s">
        <v>497</v>
      </c>
    </row>
    <row r="90" spans="2:14" ht="19" customHeight="1" x14ac:dyDescent="0.35">
      <c r="B90" s="381" t="s">
        <v>238</v>
      </c>
      <c r="C90" s="335"/>
      <c r="D90" s="234" t="s">
        <v>495</v>
      </c>
      <c r="E90" s="382" t="s">
        <v>497</v>
      </c>
      <c r="F90" s="382" t="s">
        <v>497</v>
      </c>
      <c r="G90" s="382" t="s">
        <v>497</v>
      </c>
      <c r="H90" s="382" t="s">
        <v>497</v>
      </c>
      <c r="I90" s="382" t="s">
        <v>497</v>
      </c>
      <c r="J90" s="382" t="s">
        <v>497</v>
      </c>
      <c r="K90" s="382" t="s">
        <v>497</v>
      </c>
      <c r="L90" s="382" t="s">
        <v>497</v>
      </c>
      <c r="M90" s="382" t="s">
        <v>497</v>
      </c>
      <c r="N90" s="382" t="s">
        <v>497</v>
      </c>
    </row>
    <row r="91" spans="2:14" ht="19" customHeight="1" x14ac:dyDescent="0.35">
      <c r="B91" s="265" t="s">
        <v>498</v>
      </c>
      <c r="C91" s="265"/>
      <c r="D91" s="322"/>
      <c r="E91" s="266"/>
      <c r="F91" s="266"/>
      <c r="G91" s="266"/>
      <c r="H91" s="266"/>
      <c r="I91" s="266"/>
      <c r="J91" s="266"/>
      <c r="K91" s="266"/>
      <c r="L91" s="266"/>
      <c r="M91" s="323"/>
      <c r="N91" s="266"/>
    </row>
    <row r="92" spans="2:14" ht="19" customHeight="1" x14ac:dyDescent="0.35">
      <c r="B92" s="294" t="s">
        <v>433</v>
      </c>
      <c r="C92" s="338"/>
      <c r="D92" s="234" t="s">
        <v>14</v>
      </c>
      <c r="E92" s="262">
        <f>+SUMIF('Phase I Pro Forma'!$F$6:$Z$6,'Official Summary'!E$7,'Phase I Pro Forma'!$F$31:$Z$31)+SUMIF('Phase II Pro Forma'!$F$6:$Z$6,'Official Summary'!E$7,'Phase II Pro Forma'!$F$31:$Z$31)+SUMIF('Phase III Pro Forma'!$F$6:$Z$6,'Official Summary'!E$7,'Phase III Pro Forma'!$F$31:$Z$31)</f>
        <v>0</v>
      </c>
      <c r="F92" s="262">
        <f>+SUMIF('Phase I Pro Forma'!$F$6:$Z$6,'Official Summary'!F$7,'Phase I Pro Forma'!$F$31:$Z$31)+SUMIF('Phase II Pro Forma'!$F$6:$Z$6,'Official Summary'!F$7,'Phase II Pro Forma'!$F$31:$Z$31)+SUMIF('Phase III Pro Forma'!$F$6:$Z$6,'Official Summary'!F$7,'Phase III Pro Forma'!$F$31:$Z$31)</f>
        <v>0</v>
      </c>
      <c r="G92" s="262">
        <f>+SUMIF('Phase I Pro Forma'!$F$6:$Z$6,'Official Summary'!G$7,'Phase I Pro Forma'!$F$31:$Z$31)+SUMIF('Phase II Pro Forma'!$F$6:$Z$6,'Official Summary'!G$7,'Phase II Pro Forma'!$F$31:$Z$31)+SUMIF('Phase III Pro Forma'!$F$6:$Z$6,'Official Summary'!G$7,'Phase III Pro Forma'!$F$31:$Z$31)</f>
        <v>218663.17027884291</v>
      </c>
      <c r="H92" s="262">
        <f>+SUMIF('Phase I Pro Forma'!$F$6:$Z$6,'Official Summary'!H$7,'Phase I Pro Forma'!$F$31:$Z$31)+SUMIF('Phase II Pro Forma'!$F$6:$Z$6,'Official Summary'!H$7,'Phase II Pro Forma'!$F$31:$Z$31)+SUMIF('Phase III Pro Forma'!$F$6:$Z$6,'Official Summary'!H$7,'Phase III Pro Forma'!$F$31:$Z$31)</f>
        <v>218663.17027884291</v>
      </c>
      <c r="I92" s="262">
        <f>+SUMIF('Phase I Pro Forma'!$F$6:$Z$6,'Official Summary'!I$7,'Phase I Pro Forma'!$F$31:$Z$31)+SUMIF('Phase II Pro Forma'!$F$6:$Z$6,'Official Summary'!I$7,'Phase II Pro Forma'!$F$31:$Z$31)+SUMIF('Phase III Pro Forma'!$F$6:$Z$6,'Official Summary'!I$7,'Phase III Pro Forma'!$F$31:$Z$31)</f>
        <v>151894.84000000003</v>
      </c>
      <c r="J92" s="262">
        <f>+SUMIF('Phase I Pro Forma'!$F$6:$Z$6,'Official Summary'!J$7,'Phase I Pro Forma'!$F$31:$Z$31)+SUMIF('Phase II Pro Forma'!$F$6:$Z$6,'Official Summary'!J$7,'Phase II Pro Forma'!$F$31:$Z$31)+SUMIF('Phase III Pro Forma'!$F$6:$Z$6,'Official Summary'!J$7,'Phase III Pro Forma'!$F$31:$Z$31)</f>
        <v>151894.84000000003</v>
      </c>
      <c r="K92" s="262">
        <f>+SUMIF('Phase I Pro Forma'!$F$6:$Z$6,'Official Summary'!K$7,'Phase I Pro Forma'!$F$31:$Z$31)+SUMIF('Phase II Pro Forma'!$F$6:$Z$6,'Official Summary'!K$7,'Phase II Pro Forma'!$F$31:$Z$31)+SUMIF('Phase III Pro Forma'!$F$6:$Z$6,'Official Summary'!K$7,'Phase III Pro Forma'!$F$31:$Z$31)</f>
        <v>182724.71345282008</v>
      </c>
      <c r="L92" s="262">
        <f>+SUMIF('Phase I Pro Forma'!$F$6:$Z$6,'Official Summary'!L$7,'Phase I Pro Forma'!$F$31:$Z$31)+SUMIF('Phase II Pro Forma'!$F$6:$Z$6,'Official Summary'!L$7,'Phase II Pro Forma'!$F$31:$Z$31)+SUMIF('Phase III Pro Forma'!$F$6:$Z$6,'Official Summary'!L$7,'Phase III Pro Forma'!$F$31:$Z$31)</f>
        <v>182724.71345282008</v>
      </c>
      <c r="M92" s="262">
        <f>+SUMIF('Phase I Pro Forma'!$F$6:$Z$6,'Official Summary'!M$7,'Phase I Pro Forma'!$F$31:$Z$31)+SUMIF('Phase II Pro Forma'!$F$6:$Z$6,'Official Summary'!M$7,'Phase II Pro Forma'!$F$31:$Z$31)+SUMIF('Phase III Pro Forma'!$F$6:$Z$6,'Official Summary'!M$7,'Phase III Pro Forma'!$F$31:$Z$31)</f>
        <v>0</v>
      </c>
      <c r="N92" s="262">
        <f>+SUMIF('Phase I Pro Forma'!$F$6:$Z$6,'Official Summary'!N$7,'Phase I Pro Forma'!$F$31:$Z$31)+SUMIF('Phase II Pro Forma'!$F$6:$Z$6,'Official Summary'!N$7,'Phase II Pro Forma'!$F$31:$Z$31)+SUMIF('Phase III Pro Forma'!$F$6:$Z$6,'Official Summary'!N$7,'Phase III Pro Forma'!$F$31:$Z$31)</f>
        <v>0</v>
      </c>
    </row>
    <row r="93" spans="2:14" ht="19" customHeight="1" x14ac:dyDescent="0.35">
      <c r="B93" s="294" t="s">
        <v>432</v>
      </c>
      <c r="C93" s="338"/>
      <c r="D93" s="234" t="s">
        <v>14</v>
      </c>
      <c r="E93" s="262" t="s">
        <v>497</v>
      </c>
      <c r="F93" s="262" t="s">
        <v>497</v>
      </c>
      <c r="G93" s="262" t="s">
        <v>497</v>
      </c>
      <c r="H93" s="262" t="s">
        <v>497</v>
      </c>
      <c r="I93" s="262" t="s">
        <v>497</v>
      </c>
      <c r="J93" s="262" t="s">
        <v>497</v>
      </c>
      <c r="K93" s="262" t="s">
        <v>497</v>
      </c>
      <c r="L93" s="262" t="s">
        <v>497</v>
      </c>
      <c r="M93" s="262" t="s">
        <v>497</v>
      </c>
      <c r="N93" s="262" t="s">
        <v>497</v>
      </c>
    </row>
    <row r="94" spans="2:14" ht="19" customHeight="1" x14ac:dyDescent="0.35">
      <c r="B94" s="294" t="s">
        <v>429</v>
      </c>
      <c r="C94" s="338"/>
      <c r="D94" s="234" t="s">
        <v>14</v>
      </c>
      <c r="E94" s="262" t="s">
        <v>497</v>
      </c>
      <c r="F94" s="262" t="s">
        <v>497</v>
      </c>
      <c r="G94" s="262" t="s">
        <v>497</v>
      </c>
      <c r="H94" s="262" t="s">
        <v>497</v>
      </c>
      <c r="I94" s="262" t="s">
        <v>497</v>
      </c>
      <c r="J94" s="262" t="s">
        <v>497</v>
      </c>
      <c r="K94" s="262" t="s">
        <v>497</v>
      </c>
      <c r="L94" s="262" t="s">
        <v>497</v>
      </c>
      <c r="M94" s="262" t="s">
        <v>497</v>
      </c>
      <c r="N94" s="262" t="s">
        <v>497</v>
      </c>
    </row>
    <row r="95" spans="2:14" ht="19" customHeight="1" x14ac:dyDescent="0.35">
      <c r="B95" s="294" t="s">
        <v>430</v>
      </c>
      <c r="C95" s="338"/>
      <c r="D95" s="234" t="s">
        <v>14</v>
      </c>
      <c r="E95" s="262">
        <f>+SUMIF('Phase I Pro Forma'!$F$6:$Z$6,'Official Summary'!E$7,'Phase I Pro Forma'!$F$8:$Z$8)+SUMIF('Phase II Pro Forma'!$F$6:$Z$6,'Official Summary'!E$7,'Phase II Pro Forma'!$F$8:$Z$8)+SUMIF('Phase III Pro Forma'!$F$6:$Z$6,'Official Summary'!E$7,'Phase III Pro Forma'!$F$8:$Z$8)</f>
        <v>0</v>
      </c>
      <c r="F95" s="262">
        <f>+SUMIF('Phase I Pro Forma'!$F$6:$Z$6,'Official Summary'!F$7,'Phase I Pro Forma'!$F$8:$Z$8)+SUMIF('Phase II Pro Forma'!$F$6:$Z$6,'Official Summary'!F$7,'Phase II Pro Forma'!$F$8:$Z$8)+SUMIF('Phase III Pro Forma'!$F$6:$Z$6,'Official Summary'!F$7,'Phase III Pro Forma'!$F$8:$Z$8)</f>
        <v>0</v>
      </c>
      <c r="G95" s="262">
        <f>+SUMIF('Phase I Pro Forma'!$F$6:$Z$6,'Official Summary'!G$7,'Phase I Pro Forma'!$F$8:$Z$8)+SUMIF('Phase II Pro Forma'!$F$6:$Z$6,'Official Summary'!G$7,'Phase II Pro Forma'!$F$8:$Z$8)+SUMIF('Phase III Pro Forma'!$F$6:$Z$6,'Official Summary'!G$7,'Phase III Pro Forma'!$F$8:$Z$8)</f>
        <v>54665.792569710728</v>
      </c>
      <c r="H95" s="262">
        <f>+SUMIF('Phase I Pro Forma'!$F$6:$Z$6,'Official Summary'!H$7,'Phase I Pro Forma'!$F$8:$Z$8)+SUMIF('Phase II Pro Forma'!$F$6:$Z$6,'Official Summary'!H$7,'Phase II Pro Forma'!$F$8:$Z$8)+SUMIF('Phase III Pro Forma'!$F$6:$Z$6,'Official Summary'!H$7,'Phase III Pro Forma'!$F$8:$Z$8)</f>
        <v>54665.792569710728</v>
      </c>
      <c r="I95" s="262">
        <f>+SUMIF('Phase I Pro Forma'!$F$6:$Z$6,'Official Summary'!I$7,'Phase I Pro Forma'!$F$8:$Z$8)+SUMIF('Phase II Pro Forma'!$F$6:$Z$6,'Official Summary'!I$7,'Phase II Pro Forma'!$F$8:$Z$8)+SUMIF('Phase III Pro Forma'!$F$6:$Z$6,'Official Summary'!I$7,'Phase III Pro Forma'!$F$8:$Z$8)</f>
        <v>37973.710000000006</v>
      </c>
      <c r="J95" s="262">
        <f>+SUMIF('Phase I Pro Forma'!$F$6:$Z$6,'Official Summary'!J$7,'Phase I Pro Forma'!$F$8:$Z$8)+SUMIF('Phase II Pro Forma'!$F$6:$Z$6,'Official Summary'!J$7,'Phase II Pro Forma'!$F$8:$Z$8)+SUMIF('Phase III Pro Forma'!$F$6:$Z$6,'Official Summary'!J$7,'Phase III Pro Forma'!$F$8:$Z$8)</f>
        <v>37973.710000000006</v>
      </c>
      <c r="K95" s="262">
        <f>+SUMIF('Phase I Pro Forma'!$F$6:$Z$6,'Official Summary'!K$7,'Phase I Pro Forma'!$F$8:$Z$8)+SUMIF('Phase II Pro Forma'!$F$6:$Z$6,'Official Summary'!K$7,'Phase II Pro Forma'!$F$8:$Z$8)+SUMIF('Phase III Pro Forma'!$F$6:$Z$6,'Official Summary'!K$7,'Phase III Pro Forma'!$F$8:$Z$8)</f>
        <v>45681.178363205021</v>
      </c>
      <c r="L95" s="262">
        <f>+SUMIF('Phase I Pro Forma'!$F$6:$Z$6,'Official Summary'!L$7,'Phase I Pro Forma'!$F$8:$Z$8)+SUMIF('Phase II Pro Forma'!$F$6:$Z$6,'Official Summary'!L$7,'Phase II Pro Forma'!$F$8:$Z$8)+SUMIF('Phase III Pro Forma'!$F$6:$Z$6,'Official Summary'!L$7,'Phase III Pro Forma'!$F$8:$Z$8)</f>
        <v>45681.178363205021</v>
      </c>
      <c r="M95" s="262">
        <f>+SUMIF('Phase I Pro Forma'!$F$6:$Z$6,'Official Summary'!M$7,'Phase I Pro Forma'!$F$8:$Z$8)+SUMIF('Phase II Pro Forma'!$F$6:$Z$6,'Official Summary'!M$7,'Phase II Pro Forma'!$F$8:$Z$8)+SUMIF('Phase III Pro Forma'!$F$6:$Z$6,'Official Summary'!M$7,'Phase III Pro Forma'!$F$8:$Z$8)</f>
        <v>0</v>
      </c>
      <c r="N95" s="262">
        <f>+SUMIF('Phase I Pro Forma'!$F$6:$Z$6,'Official Summary'!N$7,'Phase I Pro Forma'!$F$8:$Z$8)+SUMIF('Phase II Pro Forma'!$F$6:$Z$6,'Official Summary'!N$7,'Phase II Pro Forma'!$F$8:$Z$8)+SUMIF('Phase III Pro Forma'!$F$6:$Z$6,'Official Summary'!N$7,'Phase III Pro Forma'!$F$8:$Z$8)</f>
        <v>0</v>
      </c>
    </row>
    <row r="96" spans="2:14" ht="19" customHeight="1" x14ac:dyDescent="0.35">
      <c r="B96" s="294" t="s">
        <v>431</v>
      </c>
      <c r="C96" s="334"/>
      <c r="D96" s="234" t="s">
        <v>14</v>
      </c>
      <c r="E96" s="262" t="s">
        <v>497</v>
      </c>
      <c r="F96" s="262" t="s">
        <v>497</v>
      </c>
      <c r="G96" s="262" t="s">
        <v>497</v>
      </c>
      <c r="H96" s="262" t="s">
        <v>497</v>
      </c>
      <c r="I96" s="262" t="s">
        <v>497</v>
      </c>
      <c r="J96" s="262" t="s">
        <v>497</v>
      </c>
      <c r="K96" s="262" t="s">
        <v>497</v>
      </c>
      <c r="L96" s="262" t="s">
        <v>497</v>
      </c>
      <c r="M96" s="262" t="s">
        <v>497</v>
      </c>
      <c r="N96" s="262" t="s">
        <v>497</v>
      </c>
    </row>
    <row r="97" spans="2:14" ht="19" customHeight="1" x14ac:dyDescent="0.35">
      <c r="B97" s="340" t="s">
        <v>24</v>
      </c>
      <c r="C97" s="334"/>
      <c r="D97" s="234" t="s">
        <v>14</v>
      </c>
      <c r="E97" s="262">
        <f>+SUMIF('Phase I Pro Forma'!$F$6:$Z$6,'Official Summary'!E$7,'Phase I Pro Forma'!$F$96:$Z$96)+SUMIF('Phase II Pro Forma'!$F$6:$Z$6,'Official Summary'!E$7,'Phase II Pro Forma'!$F$96:$Z$96)+SUMIF('Phase III Pro Forma'!$F$6:$Z$6,'Official Summary'!E$7,'Phase III Pro Forma'!$F$96:$Z$96)</f>
        <v>0</v>
      </c>
      <c r="F97" s="262">
        <f>+SUMIF('Phase I Pro Forma'!$F$6:$Z$6,'Official Summary'!F$7,'Phase I Pro Forma'!$F$96:$Z$96)+SUMIF('Phase II Pro Forma'!$F$6:$Z$6,'Official Summary'!F$7,'Phase II Pro Forma'!$F$96:$Z$96)+SUMIF('Phase III Pro Forma'!$F$6:$Z$6,'Official Summary'!F$7,'Phase III Pro Forma'!$F$96:$Z$96)</f>
        <v>0</v>
      </c>
      <c r="G97" s="262">
        <f>+SUMIF('Phase I Pro Forma'!$F$6:$Z$6,'Official Summary'!G$7,'Phase I Pro Forma'!$F$96:$Z$96)+SUMIF('Phase II Pro Forma'!$F$6:$Z$6,'Official Summary'!G$7,'Phase II Pro Forma'!$F$96:$Z$96)+SUMIF('Phase III Pro Forma'!$F$6:$Z$6,'Official Summary'!G$7,'Phase III Pro Forma'!$F$96:$Z$96)</f>
        <v>205034.40000000002</v>
      </c>
      <c r="H97" s="262">
        <f>+SUMIF('Phase I Pro Forma'!$F$6:$Z$6,'Official Summary'!H$7,'Phase I Pro Forma'!$F$96:$Z$96)+SUMIF('Phase II Pro Forma'!$F$6:$Z$6,'Official Summary'!H$7,'Phase II Pro Forma'!$F$96:$Z$96)+SUMIF('Phase III Pro Forma'!$F$6:$Z$6,'Official Summary'!H$7,'Phase III Pro Forma'!$F$96:$Z$96)</f>
        <v>205034.40000000002</v>
      </c>
      <c r="I97" s="262">
        <f>+SUMIF('Phase I Pro Forma'!$F$6:$Z$6,'Official Summary'!I$7,'Phase I Pro Forma'!$F$96:$Z$96)+SUMIF('Phase II Pro Forma'!$F$6:$Z$6,'Official Summary'!I$7,'Phase II Pro Forma'!$F$96:$Z$96)+SUMIF('Phase III Pro Forma'!$F$6:$Z$6,'Official Summary'!I$7,'Phase III Pro Forma'!$F$96:$Z$96)</f>
        <v>67468.5</v>
      </c>
      <c r="J97" s="262">
        <f>+SUMIF('Phase I Pro Forma'!$F$6:$Z$6,'Official Summary'!J$7,'Phase I Pro Forma'!$F$96:$Z$96)+SUMIF('Phase II Pro Forma'!$F$6:$Z$6,'Official Summary'!J$7,'Phase II Pro Forma'!$F$96:$Z$96)+SUMIF('Phase III Pro Forma'!$F$6:$Z$6,'Official Summary'!J$7,'Phase III Pro Forma'!$F$96:$Z$96)</f>
        <v>67468.5</v>
      </c>
      <c r="K97" s="262">
        <f>+SUMIF('Phase I Pro Forma'!$F$6:$Z$6,'Official Summary'!K$7,'Phase I Pro Forma'!$F$96:$Z$96)+SUMIF('Phase II Pro Forma'!$F$6:$Z$6,'Official Summary'!K$7,'Phase II Pro Forma'!$F$96:$Z$96)+SUMIF('Phase III Pro Forma'!$F$6:$Z$6,'Official Summary'!K$7,'Phase III Pro Forma'!$F$96:$Z$96)</f>
        <v>294484.54999999993</v>
      </c>
      <c r="L97" s="262">
        <f>+SUMIF('Phase I Pro Forma'!$F$6:$Z$6,'Official Summary'!L$7,'Phase I Pro Forma'!$F$96:$Z$96)+SUMIF('Phase II Pro Forma'!$F$6:$Z$6,'Official Summary'!L$7,'Phase II Pro Forma'!$F$96:$Z$96)+SUMIF('Phase III Pro Forma'!$F$6:$Z$6,'Official Summary'!L$7,'Phase III Pro Forma'!$F$96:$Z$96)</f>
        <v>294484.54999999993</v>
      </c>
      <c r="M97" s="262">
        <f>+SUMIF('Phase I Pro Forma'!$F$6:$Z$6,'Official Summary'!M$7,'Phase I Pro Forma'!$F$96:$Z$96)+SUMIF('Phase II Pro Forma'!$F$6:$Z$6,'Official Summary'!M$7,'Phase II Pro Forma'!$F$96:$Z$96)+SUMIF('Phase III Pro Forma'!$F$6:$Z$6,'Official Summary'!M$7,'Phase III Pro Forma'!$F$96:$Z$96)</f>
        <v>0</v>
      </c>
      <c r="N97" s="262">
        <f>+SUMIF('Phase I Pro Forma'!$F$6:$Z$6,'Official Summary'!N$7,'Phase I Pro Forma'!$F$96:$Z$96)+SUMIF('Phase II Pro Forma'!$F$6:$Z$6,'Official Summary'!N$7,'Phase II Pro Forma'!$F$96:$Z$96)+SUMIF('Phase III Pro Forma'!$F$6:$Z$6,'Official Summary'!N$7,'Phase III Pro Forma'!$F$96:$Z$96)</f>
        <v>0</v>
      </c>
    </row>
    <row r="98" spans="2:14" ht="19" customHeight="1" x14ac:dyDescent="0.35">
      <c r="B98" s="340" t="s">
        <v>25</v>
      </c>
      <c r="C98" s="338"/>
      <c r="D98" s="234" t="s">
        <v>14</v>
      </c>
      <c r="E98" s="262">
        <f>+SUMIF('Phase I Pro Forma'!$F$6:$Z$6,'Official Summary'!E$7,'Phase I Pro Forma'!$F$54:$Z$54)+SUMIF('Phase II Pro Forma'!$F$6:$Z$6,'Official Summary'!E$7,'Phase II Pro Forma'!$F$54:$Z$54)+SUMIF('Phase III Pro Forma'!$F$6:$Z$6,'Official Summary'!E$7,'Phase III Pro Forma'!$F$54:$Z$54)</f>
        <v>0</v>
      </c>
      <c r="F98" s="262">
        <f>+SUMIF('Phase I Pro Forma'!$F$6:$Z$6,'Official Summary'!F$7,'Phase I Pro Forma'!$F$54:$Z$54)+SUMIF('Phase II Pro Forma'!$F$6:$Z$6,'Official Summary'!F$7,'Phase II Pro Forma'!$F$54:$Z$54)+SUMIF('Phase III Pro Forma'!$F$6:$Z$6,'Official Summary'!F$7,'Phase III Pro Forma'!$F$54:$Z$54)</f>
        <v>0</v>
      </c>
      <c r="G98" s="262">
        <f>+SUMIF('Phase I Pro Forma'!$F$6:$Z$6,'Official Summary'!G$7,'Phase I Pro Forma'!$F$54:$Z$54)+SUMIF('Phase II Pro Forma'!$F$6:$Z$6,'Official Summary'!G$7,'Phase II Pro Forma'!$F$54:$Z$54)+SUMIF('Phase III Pro Forma'!$F$6:$Z$6,'Official Summary'!G$7,'Phase III Pro Forma'!$F$54:$Z$54)</f>
        <v>107100</v>
      </c>
      <c r="H98" s="262">
        <f>+SUMIF('Phase I Pro Forma'!$F$6:$Z$6,'Official Summary'!H$7,'Phase I Pro Forma'!$F$54:$Z$54)+SUMIF('Phase II Pro Forma'!$F$6:$Z$6,'Official Summary'!H$7,'Phase II Pro Forma'!$F$54:$Z$54)+SUMIF('Phase III Pro Forma'!$F$6:$Z$6,'Official Summary'!H$7,'Phase III Pro Forma'!$F$54:$Z$54)</f>
        <v>107100</v>
      </c>
      <c r="I98" s="262">
        <f>+SUMIF('Phase I Pro Forma'!$F$6:$Z$6,'Official Summary'!I$7,'Phase I Pro Forma'!$F$54:$Z$54)+SUMIF('Phase II Pro Forma'!$F$6:$Z$6,'Official Summary'!I$7,'Phase II Pro Forma'!$F$54:$Z$54)+SUMIF('Phase III Pro Forma'!$F$6:$Z$6,'Official Summary'!I$7,'Phase III Pro Forma'!$F$54:$Z$54)</f>
        <v>69300</v>
      </c>
      <c r="J98" s="262">
        <f>+SUMIF('Phase I Pro Forma'!$F$6:$Z$6,'Official Summary'!J$7,'Phase I Pro Forma'!$F$54:$Z$54)+SUMIF('Phase II Pro Forma'!$F$6:$Z$6,'Official Summary'!J$7,'Phase II Pro Forma'!$F$54:$Z$54)+SUMIF('Phase III Pro Forma'!$F$6:$Z$6,'Official Summary'!J$7,'Phase III Pro Forma'!$F$54:$Z$54)</f>
        <v>69300</v>
      </c>
      <c r="K98" s="262">
        <f>+SUMIF('Phase I Pro Forma'!$F$6:$Z$6,'Official Summary'!K$7,'Phase I Pro Forma'!$F$54:$Z$54)+SUMIF('Phase II Pro Forma'!$F$6:$Z$6,'Official Summary'!K$7,'Phase II Pro Forma'!$F$54:$Z$54)+SUMIF('Phase III Pro Forma'!$F$6:$Z$6,'Official Summary'!K$7,'Phase III Pro Forma'!$F$54:$Z$54)</f>
        <v>35248.5</v>
      </c>
      <c r="L98" s="262">
        <f>+SUMIF('Phase I Pro Forma'!$F$6:$Z$6,'Official Summary'!L$7,'Phase I Pro Forma'!$F$54:$Z$54)+SUMIF('Phase II Pro Forma'!$F$6:$Z$6,'Official Summary'!L$7,'Phase II Pro Forma'!$F$54:$Z$54)+SUMIF('Phase III Pro Forma'!$F$6:$Z$6,'Official Summary'!L$7,'Phase III Pro Forma'!$F$54:$Z$54)</f>
        <v>35248.5</v>
      </c>
      <c r="M98" s="262">
        <f>+SUMIF('Phase I Pro Forma'!$F$6:$Z$6,'Official Summary'!M$7,'Phase I Pro Forma'!$F$54:$Z$54)+SUMIF('Phase II Pro Forma'!$F$6:$Z$6,'Official Summary'!M$7,'Phase II Pro Forma'!$F$54:$Z$54)+SUMIF('Phase III Pro Forma'!$F$6:$Z$6,'Official Summary'!M$7,'Phase III Pro Forma'!$F$54:$Z$54)</f>
        <v>0</v>
      </c>
      <c r="N98" s="262">
        <f>+SUMIF('Phase I Pro Forma'!$F$6:$Z$6,'Official Summary'!N$7,'Phase I Pro Forma'!$F$54:$Z$54)+SUMIF('Phase II Pro Forma'!$F$6:$Z$6,'Official Summary'!N$7,'Phase II Pro Forma'!$F$54:$Z$54)+SUMIF('Phase III Pro Forma'!$F$6:$Z$6,'Official Summary'!N$7,'Phase III Pro Forma'!$F$54:$Z$54)</f>
        <v>0</v>
      </c>
    </row>
    <row r="99" spans="2:14" ht="19" customHeight="1" x14ac:dyDescent="0.35">
      <c r="B99" s="340" t="s">
        <v>147</v>
      </c>
      <c r="C99" s="334"/>
      <c r="D99" s="234" t="s">
        <v>14</v>
      </c>
      <c r="E99" s="262">
        <f>+SUMIF('Phase I Pro Forma'!$F$6:$Z$6,'Official Summary'!E$7,'Phase I Pro Forma'!$F$75:$Z$75)+SUMIF('Phase II Pro Forma'!$F$6:$Z$6,'Official Summary'!E$7,'Phase II Pro Forma'!$F$75:$Z$75)+SUMIF('Phase III Pro Forma'!$F$6:$Z$6,'Official Summary'!E$7,'Phase III Pro Forma'!$F$75:$Z$75)</f>
        <v>0</v>
      </c>
      <c r="F99" s="262">
        <f>+SUMIF('Phase I Pro Forma'!$F$6:$Z$6,'Official Summary'!F$7,'Phase I Pro Forma'!$F$75:$Z$75)+SUMIF('Phase II Pro Forma'!$F$6:$Z$6,'Official Summary'!F$7,'Phase II Pro Forma'!$F$75:$Z$75)+SUMIF('Phase III Pro Forma'!$F$6:$Z$6,'Official Summary'!F$7,'Phase III Pro Forma'!$F$75:$Z$75)</f>
        <v>0</v>
      </c>
      <c r="G99" s="262">
        <f>+SUMIF('Phase I Pro Forma'!$F$6:$Z$6,'Official Summary'!G$7,'Phase I Pro Forma'!$F$75:$Z$75)+SUMIF('Phase II Pro Forma'!$F$6:$Z$6,'Official Summary'!G$7,'Phase II Pro Forma'!$F$75:$Z$75)+SUMIF('Phase III Pro Forma'!$F$6:$Z$6,'Official Summary'!G$7,'Phase III Pro Forma'!$F$75:$Z$75)</f>
        <v>39562.5</v>
      </c>
      <c r="H99" s="262">
        <f>+SUMIF('Phase I Pro Forma'!$F$6:$Z$6,'Official Summary'!H$7,'Phase I Pro Forma'!$F$75:$Z$75)+SUMIF('Phase II Pro Forma'!$F$6:$Z$6,'Official Summary'!H$7,'Phase II Pro Forma'!$F$75:$Z$75)+SUMIF('Phase III Pro Forma'!$F$6:$Z$6,'Official Summary'!H$7,'Phase III Pro Forma'!$F$75:$Z$75)</f>
        <v>39562.5</v>
      </c>
      <c r="I99" s="262">
        <f>+SUMIF('Phase I Pro Forma'!$F$6:$Z$6,'Official Summary'!I$7,'Phase I Pro Forma'!$F$75:$Z$75)+SUMIF('Phase II Pro Forma'!$F$6:$Z$6,'Official Summary'!I$7,'Phase II Pro Forma'!$F$75:$Z$75)+SUMIF('Phase III Pro Forma'!$F$6:$Z$6,'Official Summary'!I$7,'Phase III Pro Forma'!$F$75:$Z$75)</f>
        <v>5.0000000000000002E-5</v>
      </c>
      <c r="J99" s="262">
        <f>+SUMIF('Phase I Pro Forma'!$F$6:$Z$6,'Official Summary'!J$7,'Phase I Pro Forma'!$F$75:$Z$75)+SUMIF('Phase II Pro Forma'!$F$6:$Z$6,'Official Summary'!J$7,'Phase II Pro Forma'!$F$75:$Z$75)+SUMIF('Phase III Pro Forma'!$F$6:$Z$6,'Official Summary'!J$7,'Phase III Pro Forma'!$F$75:$Z$75)</f>
        <v>5.0000000000000002E-5</v>
      </c>
      <c r="K99" s="262">
        <f>+SUMIF('Phase I Pro Forma'!$F$6:$Z$6,'Official Summary'!K$7,'Phase I Pro Forma'!$F$75:$Z$75)+SUMIF('Phase II Pro Forma'!$F$6:$Z$6,'Official Summary'!K$7,'Phase II Pro Forma'!$F$75:$Z$75)+SUMIF('Phase III Pro Forma'!$F$6:$Z$6,'Official Summary'!K$7,'Phase III Pro Forma'!$F$75:$Z$75)</f>
        <v>39105</v>
      </c>
      <c r="L99" s="262">
        <f>+SUMIF('Phase I Pro Forma'!$F$6:$Z$6,'Official Summary'!L$7,'Phase I Pro Forma'!$F$75:$Z$75)+SUMIF('Phase II Pro Forma'!$F$6:$Z$6,'Official Summary'!L$7,'Phase II Pro Forma'!$F$75:$Z$75)+SUMIF('Phase III Pro Forma'!$F$6:$Z$6,'Official Summary'!L$7,'Phase III Pro Forma'!$F$75:$Z$75)</f>
        <v>39105</v>
      </c>
      <c r="M99" s="262">
        <f>+SUMIF('Phase I Pro Forma'!$F$6:$Z$6,'Official Summary'!M$7,'Phase I Pro Forma'!$F$75:$Z$75)+SUMIF('Phase II Pro Forma'!$F$6:$Z$6,'Official Summary'!M$7,'Phase II Pro Forma'!$F$75:$Z$75)+SUMIF('Phase III Pro Forma'!$F$6:$Z$6,'Official Summary'!M$7,'Phase III Pro Forma'!$F$75:$Z$75)</f>
        <v>0</v>
      </c>
      <c r="N99" s="262">
        <f>+SUMIF('Phase I Pro Forma'!$F$6:$Z$6,'Official Summary'!N$7,'Phase I Pro Forma'!$F$75:$Z$75)+SUMIF('Phase II Pro Forma'!$F$6:$Z$6,'Official Summary'!N$7,'Phase II Pro Forma'!$F$75:$Z$75)+SUMIF('Phase III Pro Forma'!$F$6:$Z$6,'Official Summary'!N$7,'Phase III Pro Forma'!$F$75:$Z$75)</f>
        <v>0</v>
      </c>
    </row>
    <row r="100" spans="2:14" ht="19" customHeight="1" x14ac:dyDescent="0.35">
      <c r="B100" s="340" t="s">
        <v>26</v>
      </c>
      <c r="C100" s="334"/>
      <c r="D100" s="234" t="s">
        <v>14</v>
      </c>
      <c r="E100" s="262">
        <f>+E86*Assumptions!$E$94</f>
        <v>0</v>
      </c>
      <c r="F100" s="262">
        <f>+F86*Assumptions!$E$94</f>
        <v>0</v>
      </c>
      <c r="G100" s="262">
        <f>+G86*Assumptions!$E$94</f>
        <v>78031.575000000012</v>
      </c>
      <c r="H100" s="262">
        <f>+H86*Assumptions!$E$94</f>
        <v>78031.575000000012</v>
      </c>
      <c r="I100" s="262">
        <f>+I86*Assumptions!$E$94</f>
        <v>52173.600000000006</v>
      </c>
      <c r="J100" s="262">
        <f>+J86*Assumptions!$E$94</f>
        <v>52173.600000000006</v>
      </c>
      <c r="K100" s="262">
        <f>+K86*Assumptions!$E$94</f>
        <v>8387.48</v>
      </c>
      <c r="L100" s="262">
        <f>+L86*Assumptions!$E$94</f>
        <v>8387.48</v>
      </c>
      <c r="M100" s="262">
        <f>+M86*Assumptions!$E$94</f>
        <v>0</v>
      </c>
      <c r="N100" s="262">
        <f>+N86*Assumptions!$E$94</f>
        <v>0</v>
      </c>
    </row>
    <row r="101" spans="2:14" ht="19" customHeight="1" x14ac:dyDescent="0.35">
      <c r="B101" s="340" t="s">
        <v>27</v>
      </c>
      <c r="C101" s="334"/>
      <c r="D101" s="234" t="s">
        <v>14</v>
      </c>
      <c r="E101" s="262">
        <f>+E87*Assumptions!$F$178</f>
        <v>0</v>
      </c>
      <c r="F101" s="262">
        <f>+F87*Assumptions!$F$178</f>
        <v>0</v>
      </c>
      <c r="G101" s="262">
        <f>+G87*Assumptions!$F$178</f>
        <v>41500</v>
      </c>
      <c r="H101" s="262">
        <f>+H87*Assumptions!$F$178</f>
        <v>41500</v>
      </c>
      <c r="I101" s="262">
        <f>+I87*Assumptions!$F$178</f>
        <v>52999.999999999993</v>
      </c>
      <c r="J101" s="262">
        <f>+J87*Assumptions!$F$178</f>
        <v>52999.999999999993</v>
      </c>
      <c r="K101" s="262">
        <f>+K87*Assumptions!$F$178</f>
        <v>24000.000000000004</v>
      </c>
      <c r="L101" s="262">
        <f>+L87*Assumptions!$F$178</f>
        <v>24000.000000000004</v>
      </c>
      <c r="M101" s="262">
        <f>+M87*Assumptions!$F$178</f>
        <v>0</v>
      </c>
      <c r="N101" s="262">
        <f>+N87*Assumptions!$F$178</f>
        <v>0</v>
      </c>
    </row>
    <row r="102" spans="2:14" ht="19" customHeight="1" x14ac:dyDescent="0.35">
      <c r="B102" s="340" t="s">
        <v>28</v>
      </c>
      <c r="C102" s="338"/>
      <c r="D102" s="234" t="s">
        <v>14</v>
      </c>
      <c r="E102" s="262">
        <f>+E88*Assumptions!$F$178</f>
        <v>0</v>
      </c>
      <c r="F102" s="262">
        <f>+F88*Assumptions!$F$178</f>
        <v>0</v>
      </c>
      <c r="G102" s="262">
        <f>+G88*Assumptions!$F$178</f>
        <v>0</v>
      </c>
      <c r="H102" s="262">
        <f>+H88*Assumptions!$F$178</f>
        <v>0</v>
      </c>
      <c r="I102" s="262">
        <f>+I88*Assumptions!$F$178</f>
        <v>0</v>
      </c>
      <c r="J102" s="262">
        <f>+J88*Assumptions!$F$178</f>
        <v>0</v>
      </c>
      <c r="K102" s="262">
        <f>+K88*Assumptions!$F$178</f>
        <v>75000</v>
      </c>
      <c r="L102" s="262">
        <f>+L88*Assumptions!$F$178</f>
        <v>75000</v>
      </c>
      <c r="M102" s="262">
        <f>+M88*Assumptions!$F$178</f>
        <v>0</v>
      </c>
      <c r="N102" s="262">
        <f>+N88*Assumptions!$F$178</f>
        <v>0</v>
      </c>
    </row>
    <row r="103" spans="2:14" ht="19" customHeight="1" x14ac:dyDescent="0.35">
      <c r="B103" s="340" t="s">
        <v>48</v>
      </c>
      <c r="C103" s="338"/>
      <c r="D103" s="234" t="s">
        <v>14</v>
      </c>
      <c r="E103" s="262" t="s">
        <v>497</v>
      </c>
      <c r="F103" s="262" t="s">
        <v>497</v>
      </c>
      <c r="G103" s="262" t="s">
        <v>497</v>
      </c>
      <c r="H103" s="262" t="s">
        <v>497</v>
      </c>
      <c r="I103" s="262" t="s">
        <v>497</v>
      </c>
      <c r="J103" s="262" t="s">
        <v>497</v>
      </c>
      <c r="K103" s="262" t="s">
        <v>497</v>
      </c>
      <c r="L103" s="262" t="s">
        <v>497</v>
      </c>
      <c r="M103" s="262" t="s">
        <v>497</v>
      </c>
      <c r="N103" s="262" t="s">
        <v>497</v>
      </c>
    </row>
    <row r="104" spans="2:14" ht="19" customHeight="1" x14ac:dyDescent="0.35">
      <c r="B104" s="381" t="s">
        <v>238</v>
      </c>
      <c r="C104" s="334"/>
      <c r="D104" s="234" t="s">
        <v>14</v>
      </c>
      <c r="E104" s="262">
        <f>+SUMIF('Phase I Pro Forma'!$F$6:$Z$6,'Official Summary'!E$7,'Phase I Pro Forma'!$F$235:$Z$235)+SUMIF('Phase II Pro Forma'!$F$6:$Z$6,'Official Summary'!E$7,'Phase II Pro Forma'!$F$235:$Z$235)+SUMIF('Phase III Pro Forma'!$F$6:$Z$6,'Official Summary'!E$7,'Phase III Pro Forma'!$F$235:$Z$235)</f>
        <v>0</v>
      </c>
      <c r="F104" s="262">
        <f>+SUMIF('Phase I Pro Forma'!$F$6:$Z$6,'Official Summary'!F$7,'Phase I Pro Forma'!$F$235:$Z$235)+SUMIF('Phase II Pro Forma'!$F$6:$Z$6,'Official Summary'!F$7,'Phase II Pro Forma'!$F$235:$Z$235)+SUMIF('Phase III Pro Forma'!$F$6:$Z$6,'Official Summary'!F$7,'Phase III Pro Forma'!$F$235:$Z$235)</f>
        <v>0</v>
      </c>
      <c r="G104" s="262">
        <f>+SUMIF('Phase I Pro Forma'!$F$6:$Z$6,'Official Summary'!G$7,'Phase I Pro Forma'!$F$235:$Z$235)+SUMIF('Phase II Pro Forma'!$F$6:$Z$6,'Official Summary'!G$7,'Phase II Pro Forma'!$F$235:$Z$235)+SUMIF('Phase III Pro Forma'!$F$6:$Z$6,'Official Summary'!G$7,'Phase III Pro Forma'!$F$235:$Z$235)</f>
        <v>4.9999999999999998E-7</v>
      </c>
      <c r="H104" s="262">
        <f>+SUMIF('Phase I Pro Forma'!$F$6:$Z$6,'Official Summary'!H$7,'Phase I Pro Forma'!$F$235:$Z$235)+SUMIF('Phase II Pro Forma'!$F$6:$Z$6,'Official Summary'!H$7,'Phase II Pro Forma'!$F$235:$Z$235)+SUMIF('Phase III Pro Forma'!$F$6:$Z$6,'Official Summary'!H$7,'Phase III Pro Forma'!$F$235:$Z$235)</f>
        <v>4.9999999999999998E-7</v>
      </c>
      <c r="I104" s="262">
        <f>+SUMIF('Phase I Pro Forma'!$F$6:$Z$6,'Official Summary'!I$7,'Phase I Pro Forma'!$F$235:$Z$235)+SUMIF('Phase II Pro Forma'!$F$6:$Z$6,'Official Summary'!I$7,'Phase II Pro Forma'!$F$235:$Z$235)+SUMIF('Phase III Pro Forma'!$F$6:$Z$6,'Official Summary'!I$7,'Phase III Pro Forma'!$F$235:$Z$235)</f>
        <v>4.9999999999999998E-7</v>
      </c>
      <c r="J104" s="262">
        <f>+SUMIF('Phase I Pro Forma'!$F$6:$Z$6,'Official Summary'!J$7,'Phase I Pro Forma'!$F$235:$Z$235)+SUMIF('Phase II Pro Forma'!$F$6:$Z$6,'Official Summary'!J$7,'Phase II Pro Forma'!$F$235:$Z$235)+SUMIF('Phase III Pro Forma'!$F$6:$Z$6,'Official Summary'!J$7,'Phase III Pro Forma'!$F$235:$Z$235)</f>
        <v>4.9999999999999998E-7</v>
      </c>
      <c r="K104" s="262">
        <f>+SUMIF('Phase I Pro Forma'!$F$6:$Z$6,'Official Summary'!K$7,'Phase I Pro Forma'!$F$235:$Z$235)+SUMIF('Phase II Pro Forma'!$F$6:$Z$6,'Official Summary'!K$7,'Phase II Pro Forma'!$F$235:$Z$235)+SUMIF('Phase III Pro Forma'!$F$6:$Z$6,'Official Summary'!K$7,'Phase III Pro Forma'!$F$235:$Z$235)</f>
        <v>117315</v>
      </c>
      <c r="L104" s="262">
        <f>+SUMIF('Phase I Pro Forma'!$F$6:$Z$6,'Official Summary'!L$7,'Phase I Pro Forma'!$F$235:$Z$235)+SUMIF('Phase II Pro Forma'!$F$6:$Z$6,'Official Summary'!L$7,'Phase II Pro Forma'!$F$235:$Z$235)+SUMIF('Phase III Pro Forma'!$F$6:$Z$6,'Official Summary'!L$7,'Phase III Pro Forma'!$F$235:$Z$235)</f>
        <v>117315</v>
      </c>
      <c r="M104" s="262">
        <f>+SUMIF('Phase I Pro Forma'!$F$6:$Z$6,'Official Summary'!M$7,'Phase I Pro Forma'!$F$235:$Z$235)+SUMIF('Phase II Pro Forma'!$F$6:$Z$6,'Official Summary'!M$7,'Phase II Pro Forma'!$F$235:$Z$235)+SUMIF('Phase III Pro Forma'!$F$6:$Z$6,'Official Summary'!M$7,'Phase III Pro Forma'!$F$235:$Z$235)</f>
        <v>0</v>
      </c>
      <c r="N104" s="262">
        <f>+SUMIF('Phase I Pro Forma'!$F$6:$Z$6,'Official Summary'!N$7,'Phase I Pro Forma'!$F$235:$Z$235)+SUMIF('Phase II Pro Forma'!$F$6:$Z$6,'Official Summary'!N$7,'Phase II Pro Forma'!$F$235:$Z$235)+SUMIF('Phase III Pro Forma'!$F$6:$Z$6,'Official Summary'!N$7,'Phase III Pro Forma'!$F$235:$Z$235)</f>
        <v>0</v>
      </c>
    </row>
    <row r="105" spans="2:14" ht="19" customHeight="1" x14ac:dyDescent="0.35">
      <c r="B105" s="297" t="s">
        <v>17</v>
      </c>
      <c r="C105" s="269"/>
      <c r="D105" s="298" t="s">
        <v>14</v>
      </c>
      <c r="E105" s="298">
        <f>+SUM(E92:E104)</f>
        <v>0</v>
      </c>
      <c r="F105" s="298">
        <f t="shared" ref="F105:N105" si="15">+SUM(F92:F104)</f>
        <v>0</v>
      </c>
      <c r="G105" s="298">
        <f t="shared" si="15"/>
        <v>744557.43784905376</v>
      </c>
      <c r="H105" s="298">
        <f t="shared" si="15"/>
        <v>744557.43784905376</v>
      </c>
      <c r="I105" s="298">
        <f t="shared" si="15"/>
        <v>431810.65005050006</v>
      </c>
      <c r="J105" s="298">
        <f t="shared" si="15"/>
        <v>431810.65005050006</v>
      </c>
      <c r="K105" s="298">
        <f t="shared" si="15"/>
        <v>821946.42181602505</v>
      </c>
      <c r="L105" s="298">
        <f t="shared" si="15"/>
        <v>821946.42181602505</v>
      </c>
      <c r="M105" s="298">
        <f t="shared" si="15"/>
        <v>0</v>
      </c>
      <c r="N105" s="298">
        <f t="shared" si="15"/>
        <v>0</v>
      </c>
    </row>
    <row r="106" spans="2:14" ht="19" customHeight="1" x14ac:dyDescent="0.35">
      <c r="B106" s="793" t="s">
        <v>499</v>
      </c>
      <c r="C106" s="793"/>
      <c r="D106" s="793"/>
      <c r="E106" s="793"/>
      <c r="F106" s="793"/>
      <c r="G106" s="793"/>
      <c r="H106" s="793"/>
      <c r="I106" s="793"/>
      <c r="J106" s="793"/>
      <c r="K106" s="793"/>
      <c r="L106" s="793"/>
      <c r="M106" s="793"/>
      <c r="N106" s="793"/>
    </row>
    <row r="107" spans="2:14" ht="19" customHeight="1" x14ac:dyDescent="0.35"/>
    <row r="108" spans="2:14" s="583" customFormat="1" ht="19" customHeight="1" x14ac:dyDescent="0.35">
      <c r="B108" s="37" t="s">
        <v>32</v>
      </c>
      <c r="C108" s="38"/>
      <c r="D108" s="38"/>
      <c r="E108" s="37"/>
      <c r="F108" s="46"/>
      <c r="G108" s="37"/>
      <c r="H108" s="255"/>
      <c r="I108" s="37" t="s">
        <v>33</v>
      </c>
      <c r="J108" s="38"/>
      <c r="K108" s="38"/>
      <c r="L108" s="37"/>
      <c r="M108" s="46"/>
      <c r="N108" s="37"/>
    </row>
    <row r="109" spans="2:14" s="755" customFormat="1" ht="19" customHeight="1" x14ac:dyDescent="0.35">
      <c r="B109" s="384" t="s">
        <v>2</v>
      </c>
      <c r="C109" s="792" t="s">
        <v>501</v>
      </c>
      <c r="D109" s="792"/>
      <c r="E109" s="792" t="s">
        <v>503</v>
      </c>
      <c r="F109" s="792"/>
      <c r="G109" s="337" t="s">
        <v>504</v>
      </c>
      <c r="H109" s="256"/>
      <c r="I109" s="790"/>
      <c r="J109" s="791"/>
      <c r="K109" s="791"/>
      <c r="L109" s="792" t="s">
        <v>34</v>
      </c>
      <c r="M109" s="792"/>
      <c r="N109" s="257"/>
    </row>
    <row r="110" spans="2:14" ht="19" customHeight="1" thickBot="1" x14ac:dyDescent="0.4">
      <c r="B110" s="294" t="s">
        <v>433</v>
      </c>
      <c r="C110" s="763" t="str">
        <f ca="1">+CONCATENATE(TEXT(Budget!$N$88,"$0,000")," pu"," / ",TEXT(Budget!$N$86,"$0.0")," pgsf")</f>
        <v>$167,668 pu / $196.3 pgsf</v>
      </c>
      <c r="D110" s="763"/>
      <c r="E110" s="763" t="str">
        <f ca="1">+CONCATENATE(TEXT(Budget!$N$87,"$0,000")," pu"," / ",TEXT(Budget!$N$85,"$0.0")," pgsf")</f>
        <v>$217,471 pu / $254.6 pgsf</v>
      </c>
      <c r="F110" s="763"/>
      <c r="G110" s="386">
        <f ca="1">+Budget!N82</f>
        <v>329247842.82206494</v>
      </c>
      <c r="I110" s="399" t="s">
        <v>35</v>
      </c>
      <c r="J110" s="400"/>
      <c r="K110" s="758" t="s">
        <v>511</v>
      </c>
      <c r="L110" s="758"/>
      <c r="M110" s="758" t="s">
        <v>512</v>
      </c>
      <c r="N110" s="758"/>
    </row>
    <row r="111" spans="2:14" ht="19" customHeight="1" x14ac:dyDescent="0.35">
      <c r="B111" s="294" t="s">
        <v>432</v>
      </c>
      <c r="C111" s="764" t="s">
        <v>497</v>
      </c>
      <c r="D111" s="764"/>
      <c r="E111" s="764" t="s">
        <v>497</v>
      </c>
      <c r="F111" s="764"/>
      <c r="G111" s="388" t="s">
        <v>497</v>
      </c>
      <c r="I111" s="255" t="s">
        <v>633</v>
      </c>
      <c r="J111" s="334"/>
      <c r="K111" s="756">
        <f ca="1">+'S&amp;U'!$G$23</f>
        <v>177420784.71560484</v>
      </c>
      <c r="L111" s="757"/>
      <c r="M111" s="756">
        <f ca="1">+'S&amp;U'!Q25</f>
        <v>71055843.325618505</v>
      </c>
      <c r="N111" s="757"/>
    </row>
    <row r="112" spans="2:14" ht="19" customHeight="1" x14ac:dyDescent="0.35">
      <c r="B112" s="294" t="s">
        <v>429</v>
      </c>
      <c r="C112" s="764" t="s">
        <v>497</v>
      </c>
      <c r="D112" s="764"/>
      <c r="E112" s="764" t="s">
        <v>497</v>
      </c>
      <c r="F112" s="764"/>
      <c r="G112" s="388" t="s">
        <v>497</v>
      </c>
      <c r="I112" s="339"/>
      <c r="J112" s="334"/>
      <c r="K112" s="334"/>
      <c r="L112" s="398"/>
      <c r="M112" s="338"/>
      <c r="N112" s="338"/>
    </row>
    <row r="113" spans="2:14" ht="19" customHeight="1" x14ac:dyDescent="0.35">
      <c r="B113" s="294" t="s">
        <v>430</v>
      </c>
      <c r="C113" s="760" t="str">
        <f ca="1">+CONCATENATE(TEXT(Budget!$M$88,"$0,000")," pu"," / ",TEXT(Budget!$M$86,"$0.0")," pgsf")</f>
        <v>$158,355 pu / $185.4 pgsf</v>
      </c>
      <c r="D113" s="760"/>
      <c r="E113" s="760" t="str">
        <f ca="1">+CONCATENATE(TEXT(Budget!$M$87,"$0,000")," pu"," / ",TEXT(Budget!$M$85,"$0.0")," pgsf")</f>
        <v>$195,314 pu / $228.7 pgsf</v>
      </c>
      <c r="F113" s="760"/>
      <c r="G113" s="387">
        <f ca="1">+Budget!M82</f>
        <v>73925488.874625638</v>
      </c>
      <c r="I113" s="255"/>
      <c r="J113" s="334"/>
      <c r="K113" s="334"/>
      <c r="L113" s="334"/>
      <c r="M113" s="334"/>
      <c r="N113" s="338"/>
    </row>
    <row r="114" spans="2:14" ht="19" customHeight="1" x14ac:dyDescent="0.35">
      <c r="B114" s="294" t="s">
        <v>431</v>
      </c>
      <c r="C114" s="764" t="s">
        <v>497</v>
      </c>
      <c r="D114" s="764"/>
      <c r="E114" s="764" t="s">
        <v>497</v>
      </c>
      <c r="F114" s="764"/>
      <c r="G114" s="388" t="s">
        <v>497</v>
      </c>
      <c r="I114" s="255"/>
      <c r="J114" s="334"/>
      <c r="K114" s="334"/>
      <c r="L114" s="334"/>
      <c r="M114" s="334"/>
      <c r="N114" s="338"/>
    </row>
    <row r="115" spans="2:14" ht="19" customHeight="1" x14ac:dyDescent="0.35">
      <c r="B115" s="294" t="s">
        <v>24</v>
      </c>
      <c r="C115" s="759">
        <f ca="1">+Budget!$R$86</f>
        <v>181.32830176981111</v>
      </c>
      <c r="D115" s="759"/>
      <c r="E115" s="759">
        <f ca="1">+Budget!$R$85</f>
        <v>242.89110206502485</v>
      </c>
      <c r="F115" s="759"/>
      <c r="G115" s="387">
        <f ca="1">+Budget!R82</f>
        <v>295866164.1955111</v>
      </c>
      <c r="I115" s="397"/>
      <c r="J115" s="335"/>
      <c r="K115" s="335"/>
      <c r="L115" s="335"/>
      <c r="M115" s="335"/>
      <c r="N115" s="336"/>
    </row>
    <row r="116" spans="2:14" ht="19" customHeight="1" thickBot="1" x14ac:dyDescent="0.4">
      <c r="B116" s="294" t="s">
        <v>500</v>
      </c>
      <c r="C116" s="759">
        <f ca="1">+SUM(Budget!$O$45,Budget!$Q$45)/SUM(Budget!$O$11:$O$19,Budget!$Q$11:$Q$19)</f>
        <v>178.52402355179893</v>
      </c>
      <c r="D116" s="759"/>
      <c r="E116" s="759">
        <f ca="1">+SUM(Budget!$O$82,Budget!$Q$82)/SUM(Budget!$O$11:$O$19,Budget!$Q$11:$Q$19)</f>
        <v>233.65133953390156</v>
      </c>
      <c r="F116" s="759"/>
      <c r="G116" s="387">
        <f ca="1">+SUM(Budget!Q82,Budget!O82)</f>
        <v>148144295.31807494</v>
      </c>
      <c r="I116" s="399" t="s">
        <v>36</v>
      </c>
      <c r="J116" s="400"/>
      <c r="K116" s="758" t="s">
        <v>511</v>
      </c>
      <c r="L116" s="758"/>
      <c r="M116" s="758" t="s">
        <v>512</v>
      </c>
      <c r="N116" s="758"/>
    </row>
    <row r="117" spans="2:14" ht="19" customHeight="1" x14ac:dyDescent="0.35">
      <c r="B117" s="294" t="s">
        <v>26</v>
      </c>
      <c r="C117" s="759">
        <f ca="1">+Budget!$P$86</f>
        <v>198.11095465308128</v>
      </c>
      <c r="D117" s="759"/>
      <c r="E117" s="760" t="str">
        <f ca="1">+CONCATENATE(TEXT(Budget!$P$87,"$0,000")," pu"," / ",TEXT(Budget!$P$85,"$0.0")," pgsf")</f>
        <v>$152,599 pu / $261.9 pgsf</v>
      </c>
      <c r="F117" s="760"/>
      <c r="G117" s="387">
        <f ca="1">+Budget!P82</f>
        <v>93995968.768870398</v>
      </c>
      <c r="I117" s="255" t="s">
        <v>514</v>
      </c>
      <c r="J117" s="334"/>
      <c r="K117" s="756">
        <f ca="1">+'S&amp;U'!G17</f>
        <v>608961247.34131205</v>
      </c>
      <c r="L117" s="757"/>
      <c r="M117" s="756">
        <v>0</v>
      </c>
      <c r="N117" s="757"/>
    </row>
    <row r="118" spans="2:14" ht="19" customHeight="1" x14ac:dyDescent="0.35">
      <c r="B118" s="294" t="s">
        <v>27</v>
      </c>
      <c r="C118" s="760" t="str">
        <f ca="1">+CONCATENATE(TEXT(Budget!$T$88,"$0,000")," per space"," / ",TEXT(Budget!$T$86,"$0.0")," pgsf")</f>
        <v>$17,938 per space / $54.4 pgsf</v>
      </c>
      <c r="D118" s="760"/>
      <c r="E118" s="760" t="str">
        <f ca="1">+CONCATENATE(TEXT(Budget!$T$87,"$0,000")," per space"," / ",TEXT(Budget!$T$85,"$0.0")," pgsf")</f>
        <v>$31,336 per space / $95.0 pgsf</v>
      </c>
      <c r="F118" s="760"/>
      <c r="G118" s="387">
        <f ca="1">+Budget!T82</f>
        <v>22504959.221831739</v>
      </c>
      <c r="I118" s="255" t="s">
        <v>267</v>
      </c>
      <c r="J118" s="334"/>
      <c r="K118" s="756">
        <v>0</v>
      </c>
      <c r="L118" s="757"/>
      <c r="M118" s="756">
        <f ca="1">+'S&amp;U'!Q17</f>
        <v>570104493.68010151</v>
      </c>
      <c r="N118" s="757"/>
    </row>
    <row r="119" spans="2:14" ht="19" customHeight="1" x14ac:dyDescent="0.35">
      <c r="B119" s="294" t="s">
        <v>28</v>
      </c>
      <c r="C119" s="760" t="str">
        <f ca="1">+CONCATENATE(TEXT(Budget!$U$88,"$0,000")," per space"," / ",TEXT(Budget!$U$86,"$0.0")," pgsf")</f>
        <v>$3,751 per space / $11.4 pgsf</v>
      </c>
      <c r="D119" s="760"/>
      <c r="E119" s="760" t="str">
        <f ca="1">+CONCATENATE(TEXT(Budget!$U$87,"$0,000")," per space"," / ",TEXT(Budget!$U$85,"$0.0")," pgsf")</f>
        <v>$18,629 per space / $56.5 pgsf</v>
      </c>
      <c r="F119" s="760"/>
      <c r="G119" s="387">
        <f ca="1">+Budget!U82</f>
        <v>8467682.144336164</v>
      </c>
      <c r="I119" s="255" t="s">
        <v>515</v>
      </c>
      <c r="J119" s="334"/>
      <c r="K119" s="756">
        <v>0</v>
      </c>
      <c r="L119" s="757"/>
      <c r="M119" s="756">
        <f ca="1">+'S&amp;U'!Q18</f>
        <v>106156328.72090535</v>
      </c>
      <c r="N119" s="757"/>
    </row>
    <row r="120" spans="2:14" ht="19" customHeight="1" x14ac:dyDescent="0.35">
      <c r="B120" s="294" t="s">
        <v>238</v>
      </c>
      <c r="C120" s="759">
        <f ca="1">+Budget!$S$86</f>
        <v>125.02091447999999</v>
      </c>
      <c r="D120" s="759"/>
      <c r="E120" s="759">
        <f ca="1">+Budget!$S$85</f>
        <v>182.34245787071274</v>
      </c>
      <c r="F120" s="759"/>
      <c r="G120" s="387">
        <f ca="1">+Budget!S82</f>
        <v>42783010.890205331</v>
      </c>
      <c r="I120" s="255" t="s">
        <v>516</v>
      </c>
      <c r="J120" s="334"/>
      <c r="K120" s="756">
        <v>0</v>
      </c>
      <c r="L120" s="757"/>
      <c r="M120" s="756">
        <f ca="1">+'S&amp;U'!Q19</f>
        <v>39065366.330291457</v>
      </c>
      <c r="N120" s="757"/>
    </row>
    <row r="121" spans="2:14" ht="19" customHeight="1" x14ac:dyDescent="0.35">
      <c r="B121" s="765" t="s">
        <v>632</v>
      </c>
      <c r="C121" s="765"/>
      <c r="D121" s="765"/>
      <c r="E121" s="765"/>
      <c r="F121" s="765"/>
      <c r="G121" s="765"/>
      <c r="I121" s="338"/>
      <c r="J121" s="334"/>
      <c r="K121" s="334"/>
      <c r="L121" s="338"/>
      <c r="M121" s="338"/>
      <c r="N121" s="338"/>
    </row>
    <row r="122" spans="2:14" ht="19" customHeight="1" x14ac:dyDescent="0.35">
      <c r="B122" s="294"/>
      <c r="C122" s="385"/>
      <c r="D122" s="385"/>
      <c r="E122" s="385"/>
      <c r="F122" s="385"/>
      <c r="G122" s="389"/>
      <c r="I122" s="338"/>
      <c r="J122" s="334"/>
      <c r="K122" s="334"/>
      <c r="L122" s="338"/>
      <c r="M122" s="338"/>
      <c r="N122" s="338"/>
    </row>
    <row r="123" spans="2:14" ht="19" customHeight="1" x14ac:dyDescent="0.35">
      <c r="B123" s="391" t="s">
        <v>8</v>
      </c>
      <c r="C123" s="391"/>
      <c r="D123" s="769" t="s">
        <v>41</v>
      </c>
      <c r="E123" s="769"/>
      <c r="F123" s="770" t="s">
        <v>43</v>
      </c>
      <c r="G123" s="770"/>
      <c r="I123" s="334"/>
      <c r="J123" s="334"/>
      <c r="K123" s="334"/>
      <c r="L123" s="334"/>
      <c r="M123" s="334"/>
      <c r="N123" s="338"/>
    </row>
    <row r="124" spans="2:14" ht="19" customHeight="1" x14ac:dyDescent="0.35">
      <c r="B124" s="340" t="s">
        <v>44</v>
      </c>
      <c r="D124" s="771">
        <f>+SUM(Infra!J12:J14)</f>
        <v>17114000</v>
      </c>
      <c r="E124" s="772"/>
      <c r="F124" s="767">
        <f>+SUM(Infra!J10)</f>
        <v>1498000</v>
      </c>
      <c r="G124" s="768"/>
      <c r="I124" s="335"/>
      <c r="J124" s="335"/>
      <c r="K124" s="335"/>
      <c r="L124" s="335"/>
      <c r="M124" s="335"/>
      <c r="N124" s="336"/>
    </row>
    <row r="125" spans="2:14" ht="19" customHeight="1" thickBot="1" x14ac:dyDescent="0.4">
      <c r="B125" s="340" t="s">
        <v>38</v>
      </c>
      <c r="D125" s="766">
        <v>0</v>
      </c>
      <c r="E125" s="766"/>
      <c r="F125" s="771">
        <f>+Infra!$J$16+SUM(Infra!J18:$J$21)</f>
        <v>7102850</v>
      </c>
      <c r="G125" s="771"/>
      <c r="I125" s="399" t="s">
        <v>513</v>
      </c>
      <c r="J125" s="400"/>
      <c r="K125" s="758" t="s">
        <v>511</v>
      </c>
      <c r="L125" s="758"/>
      <c r="M125" s="758" t="s">
        <v>512</v>
      </c>
      <c r="N125" s="758"/>
    </row>
    <row r="126" spans="2:14" ht="19" customHeight="1" x14ac:dyDescent="0.35">
      <c r="B126" s="340" t="s">
        <v>40</v>
      </c>
      <c r="D126" s="766">
        <f>+Infra!J8</f>
        <v>5700000</v>
      </c>
      <c r="E126" s="766"/>
      <c r="F126" s="767">
        <f>+Infra!J7</f>
        <v>4530000</v>
      </c>
      <c r="G126" s="768"/>
      <c r="I126" s="255" t="s">
        <v>98</v>
      </c>
      <c r="J126" s="334"/>
      <c r="K126" s="756">
        <f ca="1">+'S&amp;U'!G18</f>
        <v>182048916.48680323</v>
      </c>
      <c r="L126" s="757"/>
      <c r="M126" s="756">
        <f ca="1">+'S&amp;U'!Q20</f>
        <v>182048916.48680323</v>
      </c>
      <c r="N126" s="757"/>
    </row>
    <row r="127" spans="2:14" ht="19" customHeight="1" x14ac:dyDescent="0.35">
      <c r="B127" s="340" t="s">
        <v>39</v>
      </c>
      <c r="D127" s="766">
        <v>0</v>
      </c>
      <c r="E127" s="766"/>
      <c r="F127" s="767">
        <f>+Infra!J6</f>
        <v>16710000</v>
      </c>
      <c r="G127" s="768"/>
      <c r="I127" s="255" t="s">
        <v>629</v>
      </c>
      <c r="J127" s="334"/>
      <c r="K127" s="756">
        <f>+'S&amp;U'!G20</f>
        <v>32172132.924260452</v>
      </c>
      <c r="L127" s="757"/>
      <c r="M127" s="756">
        <f>+'S&amp;U'!Q22</f>
        <v>32172132.924260452</v>
      </c>
      <c r="N127" s="757"/>
    </row>
    <row r="128" spans="2:14" ht="19" customHeight="1" x14ac:dyDescent="0.35">
      <c r="B128" s="408" t="s">
        <v>612</v>
      </c>
      <c r="D128" s="766">
        <v>0</v>
      </c>
      <c r="E128" s="766"/>
      <c r="F128" s="773">
        <f>+Infra!J22</f>
        <v>38054686.131914899</v>
      </c>
      <c r="G128" s="774"/>
      <c r="I128" s="255" t="s">
        <v>628</v>
      </c>
      <c r="J128" s="334"/>
      <c r="K128" s="756">
        <f>+'S&amp;U'!G21</f>
        <v>11076000.000062399</v>
      </c>
      <c r="L128" s="757"/>
      <c r="M128" s="756">
        <f>+'S&amp;U'!Q23</f>
        <v>11076000.000062399</v>
      </c>
      <c r="N128" s="757"/>
    </row>
    <row r="129" spans="2:14" ht="19" customHeight="1" x14ac:dyDescent="0.35">
      <c r="B129" s="340" t="s">
        <v>529</v>
      </c>
      <c r="D129" s="766">
        <v>0</v>
      </c>
      <c r="E129" s="766"/>
      <c r="F129" s="773">
        <f>+Infra!J15</f>
        <v>3414285.7142857141</v>
      </c>
      <c r="G129" s="774"/>
      <c r="I129" s="232" t="s">
        <v>621</v>
      </c>
      <c r="K129" s="787">
        <f ca="1">+'S&amp;U'!G22</f>
        <v>3256330.7674772362</v>
      </c>
      <c r="L129" s="788"/>
      <c r="M129" s="787">
        <f ca="1">+'S&amp;U'!Q24</f>
        <v>3256330.7674772362</v>
      </c>
      <c r="N129" s="788"/>
    </row>
    <row r="130" spans="2:14" ht="19" customHeight="1" x14ac:dyDescent="0.35">
      <c r="B130" s="333" t="s">
        <v>53</v>
      </c>
      <c r="C130" s="333"/>
      <c r="D130" s="779"/>
      <c r="E130" s="779"/>
      <c r="F130" s="780">
        <f>+Budget!G23</f>
        <v>16840711.107142858</v>
      </c>
      <c r="G130" s="781"/>
      <c r="I130" s="255"/>
      <c r="J130" s="334"/>
      <c r="K130" s="387"/>
      <c r="L130" s="334"/>
      <c r="M130" s="387"/>
      <c r="N130" s="334"/>
    </row>
    <row r="131" spans="2:14" ht="19" customHeight="1" x14ac:dyDescent="0.35">
      <c r="B131" s="394" t="s">
        <v>613</v>
      </c>
      <c r="C131" s="394"/>
      <c r="D131" s="778">
        <f>+SUM(D124:E129)+D130</f>
        <v>22814000</v>
      </c>
      <c r="E131" s="778"/>
      <c r="F131" s="778">
        <f>+SUM(F124:G129)+F130</f>
        <v>88150532.953343481</v>
      </c>
      <c r="G131" s="778"/>
      <c r="I131" s="335"/>
      <c r="J131" s="335"/>
      <c r="K131" s="335"/>
      <c r="L131" s="335"/>
      <c r="M131" s="335"/>
      <c r="N131" s="336"/>
    </row>
    <row r="132" spans="2:14" ht="19" customHeight="1" x14ac:dyDescent="0.35">
      <c r="B132" s="403" t="s">
        <v>3</v>
      </c>
      <c r="C132" s="403"/>
      <c r="D132" s="775"/>
      <c r="E132" s="775"/>
      <c r="F132" s="776">
        <f ca="1">+SUM(G110:G120)</f>
        <v>1014935412.2355204</v>
      </c>
      <c r="G132" s="777"/>
      <c r="H132" s="258"/>
      <c r="I132" s="401" t="s">
        <v>96</v>
      </c>
      <c r="J132" s="402"/>
      <c r="K132" s="761">
        <f ca="1">+SUM(K126:L129,K117:L120,K111)</f>
        <v>1014935412.2355201</v>
      </c>
      <c r="L132" s="762"/>
      <c r="M132" s="761">
        <f ca="1">+SUM(M126:N129,M117:N120,M111)</f>
        <v>1014935412.2355201</v>
      </c>
      <c r="N132" s="762"/>
    </row>
    <row r="133" spans="2:14" ht="19" customHeight="1" x14ac:dyDescent="0.35">
      <c r="D133" s="259"/>
      <c r="E133" s="260"/>
    </row>
    <row r="134" spans="2:14" ht="16" customHeight="1" x14ac:dyDescent="0.35">
      <c r="D134" s="259"/>
      <c r="E134" s="260"/>
    </row>
    <row r="135" spans="2:14" ht="16" customHeight="1" x14ac:dyDescent="0.35">
      <c r="D135" s="259"/>
      <c r="E135" s="260"/>
    </row>
    <row r="136" spans="2:14" ht="16" customHeight="1" x14ac:dyDescent="0.35">
      <c r="D136" s="259"/>
      <c r="E136" s="260"/>
    </row>
    <row r="137" spans="2:14" ht="16" customHeight="1" x14ac:dyDescent="0.35"/>
    <row r="138" spans="2:14" ht="16" customHeight="1" x14ac:dyDescent="0.35"/>
    <row r="139" spans="2:14" ht="16" customHeight="1" x14ac:dyDescent="0.35"/>
    <row r="140" spans="2:14" ht="16" customHeight="1" x14ac:dyDescent="0.35"/>
    <row r="141" spans="2:14" ht="16" customHeight="1" x14ac:dyDescent="0.35"/>
    <row r="142" spans="2:14" ht="16" customHeight="1" x14ac:dyDescent="0.35"/>
    <row r="143" spans="2:14" ht="16" customHeight="1" x14ac:dyDescent="0.35"/>
    <row r="144" spans="2:14" ht="16" customHeight="1" x14ac:dyDescent="0.35"/>
    <row r="145" ht="16" customHeight="1" x14ac:dyDescent="0.35"/>
    <row r="146" ht="16" customHeight="1" x14ac:dyDescent="0.35"/>
    <row r="147" ht="16" customHeight="1" x14ac:dyDescent="0.35"/>
    <row r="148" ht="16" customHeight="1" x14ac:dyDescent="0.35"/>
    <row r="149" ht="16" customHeight="1" x14ac:dyDescent="0.35"/>
    <row r="150" ht="16" customHeight="1" x14ac:dyDescent="0.35"/>
    <row r="151" ht="16" customHeight="1" x14ac:dyDescent="0.35"/>
  </sheetData>
  <mergeCells count="88">
    <mergeCell ref="K129:L129"/>
    <mergeCell ref="M129:N129"/>
    <mergeCell ref="I74:J74"/>
    <mergeCell ref="K74:L74"/>
    <mergeCell ref="M74:N74"/>
    <mergeCell ref="E75:N75"/>
    <mergeCell ref="I109:K109"/>
    <mergeCell ref="L109:M109"/>
    <mergeCell ref="E109:F109"/>
    <mergeCell ref="B106:N106"/>
    <mergeCell ref="C109:D109"/>
    <mergeCell ref="K128:L128"/>
    <mergeCell ref="M128:N128"/>
    <mergeCell ref="D127:E127"/>
    <mergeCell ref="F127:G127"/>
    <mergeCell ref="D128:E128"/>
    <mergeCell ref="I4:J4"/>
    <mergeCell ref="K4:L4"/>
    <mergeCell ref="M4:N4"/>
    <mergeCell ref="B71:N71"/>
    <mergeCell ref="B72:N72"/>
    <mergeCell ref="B14:C14"/>
    <mergeCell ref="B15:C15"/>
    <mergeCell ref="B26:C26"/>
    <mergeCell ref="B25:C25"/>
    <mergeCell ref="B59:C59"/>
    <mergeCell ref="F128:G128"/>
    <mergeCell ref="D132:E132"/>
    <mergeCell ref="F132:G132"/>
    <mergeCell ref="D129:E129"/>
    <mergeCell ref="D131:E131"/>
    <mergeCell ref="F131:G131"/>
    <mergeCell ref="D130:E130"/>
    <mergeCell ref="F130:G130"/>
    <mergeCell ref="F129:G129"/>
    <mergeCell ref="D126:E126"/>
    <mergeCell ref="F126:G126"/>
    <mergeCell ref="D123:E123"/>
    <mergeCell ref="F123:G123"/>
    <mergeCell ref="K126:L126"/>
    <mergeCell ref="D124:E124"/>
    <mergeCell ref="F124:G124"/>
    <mergeCell ref="F125:G125"/>
    <mergeCell ref="D125:E125"/>
    <mergeCell ref="K125:L125"/>
    <mergeCell ref="E119:F119"/>
    <mergeCell ref="E120:F120"/>
    <mergeCell ref="C119:D119"/>
    <mergeCell ref="C120:D120"/>
    <mergeCell ref="B121:G121"/>
    <mergeCell ref="E118:F118"/>
    <mergeCell ref="C110:D110"/>
    <mergeCell ref="C111:D111"/>
    <mergeCell ref="C112:D112"/>
    <mergeCell ref="E110:F110"/>
    <mergeCell ref="E111:F111"/>
    <mergeCell ref="E112:F112"/>
    <mergeCell ref="E113:F113"/>
    <mergeCell ref="E114:F114"/>
    <mergeCell ref="C114:D114"/>
    <mergeCell ref="C113:D113"/>
    <mergeCell ref="C115:D115"/>
    <mergeCell ref="C116:D116"/>
    <mergeCell ref="C117:D117"/>
    <mergeCell ref="C118:D118"/>
    <mergeCell ref="K110:L110"/>
    <mergeCell ref="M110:N110"/>
    <mergeCell ref="K111:L111"/>
    <mergeCell ref="M111:N111"/>
    <mergeCell ref="K132:L132"/>
    <mergeCell ref="M132:N132"/>
    <mergeCell ref="K118:L118"/>
    <mergeCell ref="M118:N118"/>
    <mergeCell ref="K119:L119"/>
    <mergeCell ref="M119:N119"/>
    <mergeCell ref="M120:N120"/>
    <mergeCell ref="M126:N126"/>
    <mergeCell ref="K120:L120"/>
    <mergeCell ref="M125:N125"/>
    <mergeCell ref="K127:L127"/>
    <mergeCell ref="M127:N127"/>
    <mergeCell ref="K117:L117"/>
    <mergeCell ref="M117:N117"/>
    <mergeCell ref="K116:L116"/>
    <mergeCell ref="M116:N116"/>
    <mergeCell ref="E115:F115"/>
    <mergeCell ref="E116:F116"/>
    <mergeCell ref="E117:F117"/>
  </mergeCells>
  <phoneticPr fontId="62" type="noConversion"/>
  <pageMargins left="0.25" right="0.25" top="0.75" bottom="0.75" header="0.3" footer="0.3"/>
  <pageSetup paperSize="3" scale="43" orientation="portrait" r:id="rId1"/>
  <headerFooter alignWithMargins="0">
    <oddHeader xml:space="preserve">&amp;L&amp;"Arial,Bold"2017 ULI Hines Student Competition&amp;RTeam &amp;A </oddHeader>
  </headerFooter>
  <rowBreaks count="1" manualBreakCount="1">
    <brk id="13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T178"/>
  <sheetViews>
    <sheetView showGridLines="0" topLeftCell="A94" zoomScale="55" zoomScaleNormal="55" workbookViewId="0">
      <selection activeCell="B100" sqref="B100"/>
    </sheetView>
  </sheetViews>
  <sheetFormatPr defaultColWidth="14.453125" defaultRowHeight="16" customHeight="1" x14ac:dyDescent="0.25"/>
  <cols>
    <col min="1" max="1" width="8.453125" customWidth="1"/>
    <col min="5" max="5" width="18.1796875" bestFit="1" customWidth="1"/>
    <col min="6" max="6" width="23.81640625" customWidth="1"/>
    <col min="7" max="7" width="25.6328125" bestFit="1" customWidth="1"/>
    <col min="8" max="8" width="16.6328125" customWidth="1"/>
    <col min="11" max="14" width="14.453125" customWidth="1"/>
    <col min="18" max="18" width="27.6328125" customWidth="1"/>
  </cols>
  <sheetData>
    <row r="1" spans="2:19" ht="12.5" x14ac:dyDescent="0.25"/>
    <row r="2" spans="2:19" ht="12.5" x14ac:dyDescent="0.25">
      <c r="I2" s="197"/>
      <c r="J2" s="197"/>
    </row>
    <row r="3" spans="2:19" ht="15.5" x14ac:dyDescent="0.35">
      <c r="B3" s="37" t="s">
        <v>266</v>
      </c>
      <c r="C3" s="38"/>
      <c r="D3" s="38"/>
      <c r="E3" s="37" t="s">
        <v>17</v>
      </c>
      <c r="F3" s="46" t="str">
        <f ca="1">+F$3</f>
        <v>I</v>
      </c>
      <c r="G3" s="46" t="str">
        <f ca="1">+G$3</f>
        <v>II</v>
      </c>
      <c r="H3" s="46" t="str">
        <f ca="1">+H$3</f>
        <v>III</v>
      </c>
      <c r="I3" s="782" t="str">
        <f ca="1">+I$3</f>
        <v>I</v>
      </c>
      <c r="J3" s="782"/>
      <c r="K3" s="782" t="s">
        <v>243</v>
      </c>
      <c r="L3" s="782"/>
      <c r="M3" s="782" t="s">
        <v>244</v>
      </c>
      <c r="N3" s="782"/>
    </row>
    <row r="4" spans="2:19" ht="15.5" x14ac:dyDescent="0.35">
      <c r="B4" s="161" t="s">
        <v>267</v>
      </c>
      <c r="C4" s="158"/>
      <c r="D4" s="159"/>
      <c r="E4" s="160"/>
      <c r="F4" s="162" t="str">
        <f ca="1">+F$3</f>
        <v>I</v>
      </c>
      <c r="G4" s="162" t="str">
        <f ca="1">+G$3</f>
        <v>II</v>
      </c>
      <c r="H4" s="162" t="str">
        <f ca="1">+H$3</f>
        <v>III</v>
      </c>
      <c r="I4" s="46" t="s">
        <v>329</v>
      </c>
      <c r="J4" s="46" t="s">
        <v>330</v>
      </c>
      <c r="K4" s="46" t="s">
        <v>329</v>
      </c>
      <c r="L4" s="46" t="s">
        <v>330</v>
      </c>
      <c r="M4" s="46" t="s">
        <v>329</v>
      </c>
      <c r="N4" s="46" t="s">
        <v>330</v>
      </c>
    </row>
    <row r="5" spans="2:19" ht="15.5" x14ac:dyDescent="0.35">
      <c r="B5" s="33" t="s">
        <v>269</v>
      </c>
      <c r="C5" s="33"/>
      <c r="D5" s="40"/>
      <c r="E5" s="48">
        <f t="shared" ref="E5:E10" ca="1" si="0">+SUM(F5:H5)</f>
        <v>16329399.573737863</v>
      </c>
      <c r="F5" s="34">
        <f ca="1">+INDEX('Phase I Pro Forma'!$F$28:$Z$28,1,MATCH(1,'Phase I Pro Forma'!$F$3:$Z$3,0))</f>
        <v>7367253.5039282991</v>
      </c>
      <c r="G5" s="34">
        <f ca="1">+INDEX('Phase II Pro Forma'!$F$28:$Z$28,1,MATCH(1,'Phase II Pro Forma'!$F$3:$Z$3,0))</f>
        <v>3904161.8029663316</v>
      </c>
      <c r="H5" s="34">
        <f ca="1">+INDEX('Phase III Pro Forma'!$F$28:$Z$28,1,MATCH(1,'Phase III Pro Forma'!$F$3:$Z$3,0))</f>
        <v>5057984.2668432295</v>
      </c>
      <c r="I5" s="41"/>
      <c r="J5" s="116">
        <f t="shared" ref="J5:J10" ca="1" si="1">+F5/$F$63</f>
        <v>1.7863114000872753E-2</v>
      </c>
      <c r="K5" s="41"/>
      <c r="L5" s="116">
        <f t="shared" ref="L5:L10" ca="1" si="2">+G5/$G$63</f>
        <v>1.6328898678399217E-2</v>
      </c>
      <c r="M5" s="41"/>
      <c r="N5" s="116">
        <f t="shared" ref="N5:N10" ca="1" si="3">+H5/$H$63</f>
        <v>1.178310407299424E-2</v>
      </c>
      <c r="O5" s="34"/>
      <c r="R5" s="41"/>
      <c r="S5" s="116"/>
    </row>
    <row r="6" spans="2:19" ht="15.5" x14ac:dyDescent="0.35">
      <c r="B6" s="33" t="s">
        <v>271</v>
      </c>
      <c r="C6" s="33"/>
      <c r="D6" s="40"/>
      <c r="E6" s="48">
        <f t="shared" ca="1" si="0"/>
        <v>358023801.17890537</v>
      </c>
      <c r="F6" s="34">
        <f ca="1">+INDEX('Phase I Pro Forma'!$F$51:$Z$51,1,MATCH(1,'Phase I Pro Forma'!$F$3:$Z$3,0))</f>
        <v>134795657.63661441</v>
      </c>
      <c r="G6" s="34">
        <f ca="1">+INDEX('Phase II Pro Forma'!$F$51:$Z$51,1,MATCH(1,'Phase II Pro Forma'!$F$3:$Z$3,0))</f>
        <v>97278514.007811472</v>
      </c>
      <c r="H6" s="34">
        <f ca="1">+INDEX('Phase III Pro Forma'!$F$51:$Z$51,1,MATCH(1,'Phase III Pro Forma'!$F$3:$Z$3,0))</f>
        <v>125949629.53447948</v>
      </c>
      <c r="I6" s="41"/>
      <c r="J6" s="116">
        <f t="shared" ca="1" si="1"/>
        <v>0.32683417204275039</v>
      </c>
      <c r="K6" s="41"/>
      <c r="L6" s="116">
        <f t="shared" ca="1" si="2"/>
        <v>0.40686095479237255</v>
      </c>
      <c r="M6" s="41"/>
      <c r="N6" s="116">
        <f t="shared" ca="1" si="3"/>
        <v>0.29341285272246959</v>
      </c>
      <c r="O6" s="34"/>
      <c r="R6" s="41"/>
      <c r="S6" s="116"/>
    </row>
    <row r="7" spans="2:19" ht="15.5" x14ac:dyDescent="0.35">
      <c r="B7" s="33" t="s">
        <v>272</v>
      </c>
      <c r="C7" s="33"/>
      <c r="D7" s="40"/>
      <c r="E7" s="48">
        <f t="shared" ca="1" si="0"/>
        <v>126789092.81470382</v>
      </c>
      <c r="F7" s="34">
        <f ca="1">+INDEX('Phase I Pro Forma'!$F$72:$Z$72,1,MATCH(1,'Phase I Pro Forma'!$F$3:$Z$3,0))</f>
        <v>61577054.621789433</v>
      </c>
      <c r="G7" s="34">
        <f ca="1">+INDEX('Phase II Pro Forma'!$F$72:$Z$72,1,MATCH(1,'Phase II Pro Forma'!$F$3:$Z$3,0))</f>
        <v>42577454.084652245</v>
      </c>
      <c r="H7" s="34">
        <f ca="1">+INDEX('Phase III Pro Forma'!$F$72:$Z$72,1,MATCH(1,'Phase III Pro Forma'!$F$3:$Z$3,0))</f>
        <v>22634584.108262144</v>
      </c>
      <c r="I7" s="41"/>
      <c r="J7" s="116">
        <f t="shared" ca="1" si="1"/>
        <v>0.14930366465067121</v>
      </c>
      <c r="K7" s="41"/>
      <c r="L7" s="116">
        <f t="shared" ca="1" si="2"/>
        <v>0.17807738736756371</v>
      </c>
      <c r="M7" s="41"/>
      <c r="N7" s="116">
        <f t="shared" ca="1" si="3"/>
        <v>5.2729634203281084E-2</v>
      </c>
      <c r="O7" s="34"/>
      <c r="R7" s="41"/>
      <c r="S7" s="116"/>
    </row>
    <row r="8" spans="2:19" ht="15.5" x14ac:dyDescent="0.35">
      <c r="B8" s="33" t="s">
        <v>273</v>
      </c>
      <c r="C8" s="33"/>
      <c r="D8" s="40"/>
      <c r="E8" s="48">
        <f t="shared" ca="1" si="0"/>
        <v>13699000.000000004</v>
      </c>
      <c r="F8" s="34">
        <f ca="1">+INDEX('Phase I Pro Forma'!$F$93:$Z$93,1,MATCH(1,'Phase I Pro Forma'!$F$3:$Z$3,0))</f>
        <v>2691666.6666666665</v>
      </c>
      <c r="G8" s="34">
        <f ca="1">+INDEX('Phase II Pro Forma'!$F$93:$Z$93,1,MATCH(1,'Phase II Pro Forma'!$F$3:$Z$3,0))</f>
        <v>0</v>
      </c>
      <c r="H8" s="34">
        <f ca="1">+INDEX('Phase III Pro Forma'!$F$93:$Z$93,1,MATCH(1,'Phase III Pro Forma'!$F$3:$Z$3,0))</f>
        <v>11007333.333333328</v>
      </c>
      <c r="I8" s="41"/>
      <c r="J8" s="116">
        <f t="shared" ca="1" si="1"/>
        <v>6.5263871391663432E-3</v>
      </c>
      <c r="K8" s="41"/>
      <c r="L8" s="116">
        <f t="shared" ca="1" si="2"/>
        <v>0</v>
      </c>
      <c r="M8" s="41"/>
      <c r="N8" s="116">
        <f t="shared" ca="1" si="3"/>
        <v>2.5642735799523045E-2</v>
      </c>
      <c r="O8" s="34"/>
      <c r="R8" s="41"/>
      <c r="S8" s="116"/>
    </row>
    <row r="9" spans="2:19" ht="15.5" x14ac:dyDescent="0.35">
      <c r="B9" s="33" t="s">
        <v>274</v>
      </c>
      <c r="C9" s="33"/>
      <c r="D9" s="40"/>
      <c r="E9" s="48">
        <f t="shared" ca="1" si="0"/>
        <v>366520962.36519337</v>
      </c>
      <c r="F9" s="34">
        <f ca="1">+INDEX('Phase I Pro Forma'!$F$114:$Z$114,1,MATCH(1,'Phase I Pro Forma'!$F$3:$Z$3,0))</f>
        <v>126206389.68673135</v>
      </c>
      <c r="G9" s="34">
        <f ca="1">+INDEX('Phase II Pro Forma'!$F$114:$Z$114,1,MATCH(1,'Phase II Pro Forma'!$F$3:$Z$3,0))</f>
        <v>43207188.730298094</v>
      </c>
      <c r="H9" s="34">
        <f ca="1">+INDEX('Phase III Pro Forma'!$F$114:$Z$114,1,MATCH(1,'Phase III Pro Forma'!$F$3:$Z$3,0))</f>
        <v>197107383.94816387</v>
      </c>
      <c r="I9" s="41"/>
      <c r="J9" s="116">
        <f t="shared" ca="1" si="1"/>
        <v>0.30600808366517623</v>
      </c>
      <c r="K9" s="41"/>
      <c r="L9" s="116">
        <f t="shared" ca="1" si="2"/>
        <v>0.18071121089793479</v>
      </c>
      <c r="M9" s="41"/>
      <c r="N9" s="116">
        <f t="shared" ca="1" si="3"/>
        <v>0.45918229399048371</v>
      </c>
      <c r="O9" s="34"/>
      <c r="R9" s="41"/>
      <c r="S9" s="116"/>
    </row>
    <row r="10" spans="2:19" ht="15.5" x14ac:dyDescent="0.35">
      <c r="B10" s="33" t="s">
        <v>275</v>
      </c>
      <c r="C10" s="33"/>
      <c r="D10" s="40"/>
      <c r="E10" s="48">
        <f t="shared" ca="1" si="0"/>
        <v>14636066.101993699</v>
      </c>
      <c r="F10" s="34">
        <f ca="1">+INDEX('Phase I Pro Forma'!$F$136:$Z$136,1,MATCH(1,'Phase I Pro Forma'!$F$3:$Z$3,0))</f>
        <v>2925073.3283755826</v>
      </c>
      <c r="G10" s="34">
        <f ca="1">+INDEX('Phase II Pro Forma'!$F$136:$Z$136,1,MATCH(1,'Phase II Pro Forma'!$F$3:$Z$3,0))</f>
        <v>3886555.5039668339</v>
      </c>
      <c r="H10" s="34">
        <f ca="1">+INDEX('Phase III Pro Forma'!$F$136:$Z$136,1,MATCH(1,'Phase III Pro Forma'!$F$3:$Z$3,0))</f>
        <v>7824437.2696512807</v>
      </c>
      <c r="I10" s="41"/>
      <c r="J10" s="116">
        <f t="shared" ca="1" si="1"/>
        <v>7.0923198581159972E-3</v>
      </c>
      <c r="K10" s="41"/>
      <c r="L10" s="116">
        <f t="shared" ca="1" si="2"/>
        <v>1.6255261496598512E-2</v>
      </c>
      <c r="M10" s="41"/>
      <c r="N10" s="116">
        <f t="shared" ca="1" si="3"/>
        <v>1.8227846074036338E-2</v>
      </c>
      <c r="O10" s="34"/>
      <c r="R10" s="41"/>
      <c r="S10" s="116"/>
    </row>
    <row r="11" spans="2:19" ht="5.25" customHeight="1" x14ac:dyDescent="0.35">
      <c r="B11" s="33"/>
      <c r="C11" s="33"/>
      <c r="D11" s="40"/>
      <c r="E11" s="48"/>
      <c r="F11" s="34"/>
      <c r="G11" s="34"/>
      <c r="H11" s="34"/>
      <c r="I11" s="41"/>
      <c r="J11" s="41"/>
      <c r="K11" s="41"/>
      <c r="L11" s="41"/>
      <c r="M11" s="41"/>
      <c r="N11" s="41"/>
      <c r="R11" s="41"/>
      <c r="S11" s="41"/>
    </row>
    <row r="12" spans="2:19" ht="15.5" x14ac:dyDescent="0.35">
      <c r="B12" s="33" t="s">
        <v>185</v>
      </c>
      <c r="C12" s="33"/>
      <c r="D12" s="44"/>
      <c r="E12" s="152"/>
      <c r="F12" s="153">
        <f>+Assumptions!N149</f>
        <v>0.65</v>
      </c>
      <c r="G12" s="153">
        <f>+Assumptions!O149</f>
        <v>0.65</v>
      </c>
      <c r="H12" s="153">
        <f>+Assumptions!P149</f>
        <v>0.65</v>
      </c>
      <c r="I12" s="41"/>
      <c r="J12" s="41"/>
      <c r="K12" s="41"/>
      <c r="L12" s="41"/>
      <c r="M12" s="41"/>
      <c r="N12" s="41"/>
      <c r="R12" s="41"/>
      <c r="S12" s="41"/>
    </row>
    <row r="13" spans="2:19" ht="15.5" x14ac:dyDescent="0.35">
      <c r="B13" s="137" t="s">
        <v>276</v>
      </c>
      <c r="C13" s="137"/>
      <c r="D13" s="137"/>
      <c r="E13" s="36">
        <f ca="1">+SUM(F13:H13)</f>
        <v>582398909.32244718</v>
      </c>
      <c r="F13" s="129">
        <f ca="1">+F12*SUM(F5:F10)</f>
        <v>218116012.03866875</v>
      </c>
      <c r="G13" s="129">
        <f ca="1">+G12*SUM(G5:G10)</f>
        <v>124055018.18430173</v>
      </c>
      <c r="H13" s="129">
        <f ca="1">+H12*SUM(H5:H10)</f>
        <v>240227879.0994767</v>
      </c>
      <c r="I13" s="41"/>
      <c r="J13" s="41"/>
      <c r="K13" s="41"/>
      <c r="L13" s="41"/>
      <c r="M13" s="41"/>
      <c r="N13" s="41"/>
      <c r="R13" s="41"/>
      <c r="S13" s="41"/>
    </row>
    <row r="14" spans="2:19" ht="15.5" x14ac:dyDescent="0.35">
      <c r="B14" s="5"/>
      <c r="D14" s="3"/>
      <c r="E14" s="2"/>
      <c r="I14" s="41"/>
      <c r="J14" s="41"/>
      <c r="K14" s="41"/>
      <c r="L14" s="41"/>
      <c r="M14" s="41"/>
      <c r="N14" s="41"/>
      <c r="R14" s="41"/>
      <c r="S14" s="41"/>
    </row>
    <row r="15" spans="2:19" ht="15.5" x14ac:dyDescent="0.35">
      <c r="B15" s="33" t="s">
        <v>268</v>
      </c>
      <c r="C15" s="33"/>
      <c r="D15" s="40"/>
      <c r="E15" s="48">
        <f t="shared" ref="E15:E20" ca="1" si="4">+SUM(F15:H15)</f>
        <v>938940.47548992711</v>
      </c>
      <c r="F15" s="34">
        <f ca="1">+INDEX('Phase I Pro Forma'!$F$26:$Z$26,1,MATCH(1,'Phase I Pro Forma'!$F$3:$Z$3,0))</f>
        <v>423617.0764758772</v>
      </c>
      <c r="G15" s="34">
        <f ca="1">+INDEX('Phase II Pro Forma'!$F$26:$Z$26,1,MATCH(1,'Phase II Pro Forma'!$F$3:$Z$3,0))</f>
        <v>224489.30367056408</v>
      </c>
      <c r="H15" s="34">
        <f ca="1">+INDEX('Phase III Pro Forma'!$F$26:$Z$26,1,MATCH(1,'Phase III Pro Forma'!$F$3:$Z$3,0))</f>
        <v>290834.09534348571</v>
      </c>
      <c r="I15" s="116">
        <f t="shared" ref="I15:I20" ca="1" si="5">+F15/$F$62</f>
        <v>1.6344371739050026E-2</v>
      </c>
      <c r="J15" s="41"/>
      <c r="K15" s="116">
        <f t="shared" ref="K15:K20" ca="1" si="6">+G15/$G$62</f>
        <v>1.5047100409732415E-2</v>
      </c>
      <c r="L15" s="41"/>
      <c r="M15" s="116">
        <f t="shared" ref="M15:M20" ca="1" si="7">+H15/$H$62</f>
        <v>1.1116813523143965E-2</v>
      </c>
      <c r="N15" s="41"/>
      <c r="O15" s="34"/>
      <c r="R15" s="116"/>
      <c r="S15" s="41"/>
    </row>
    <row r="16" spans="2:19" ht="15.5" x14ac:dyDescent="0.35">
      <c r="B16" s="33" t="s">
        <v>270</v>
      </c>
      <c r="C16" s="33"/>
      <c r="D16" s="40"/>
      <c r="E16" s="48">
        <f t="shared" ca="1" si="4"/>
        <v>19691309.064839795</v>
      </c>
      <c r="F16" s="34">
        <f ca="1">+INDEX('Phase I Pro Forma'!$F$49:$Z$49,1,MATCH(1,'Phase I Pro Forma'!$F$3:$Z$3,0))</f>
        <v>7413761.1700137928</v>
      </c>
      <c r="G16" s="34">
        <f ca="1">+INDEX('Phase II Pro Forma'!$F$49:$Z$49,1,MATCH(1,'Phase II Pro Forma'!$F$3:$Z$3,0))</f>
        <v>5350318.2704296308</v>
      </c>
      <c r="H16" s="34">
        <f ca="1">+INDEX('Phase III Pro Forma'!$F$49:$Z$49,1,MATCH(1,'Phase III Pro Forma'!$F$3:$Z$3,0))</f>
        <v>6927229.6243963717</v>
      </c>
      <c r="I16" s="116">
        <f t="shared" ca="1" si="5"/>
        <v>0.28604434352669467</v>
      </c>
      <c r="J16" s="41"/>
      <c r="K16" s="116">
        <f t="shared" ca="1" si="6"/>
        <v>0.35862188052096888</v>
      </c>
      <c r="L16" s="41"/>
      <c r="M16" s="116">
        <f t="shared" ca="1" si="7"/>
        <v>0.2647857359208966</v>
      </c>
      <c r="N16" s="41"/>
      <c r="R16" s="116"/>
      <c r="S16" s="41"/>
    </row>
    <row r="17" spans="2:19" ht="15.5" x14ac:dyDescent="0.35">
      <c r="B17" s="33" t="s">
        <v>277</v>
      </c>
      <c r="C17" s="33"/>
      <c r="D17" s="40"/>
      <c r="E17" s="48">
        <f t="shared" ca="1" si="4"/>
        <v>8241291.032955749</v>
      </c>
      <c r="F17" s="34">
        <f ca="1">+INDEX('Phase I Pro Forma'!$F$70:$Z$70,1,MATCH(1,'Phase I Pro Forma'!$F$3:$Z$3,0))</f>
        <v>4002508.5504163131</v>
      </c>
      <c r="G17" s="34">
        <f ca="1">+INDEX('Phase II Pro Forma'!$F$70:$Z$70,1,MATCH(1,'Phase II Pro Forma'!$F$3:$Z$3,0))</f>
        <v>2767534.515502396</v>
      </c>
      <c r="H17" s="34">
        <f ca="1">+INDEX('Phase III Pro Forma'!$F$70:$Z$70,1,MATCH(1,'Phase III Pro Forma'!$F$3:$Z$3,0))</f>
        <v>1471247.9670370393</v>
      </c>
      <c r="I17" s="116">
        <f t="shared" ca="1" si="5"/>
        <v>0.15442835350490344</v>
      </c>
      <c r="J17" s="41"/>
      <c r="K17" s="116">
        <f t="shared" ca="1" si="6"/>
        <v>0.18550269015612411</v>
      </c>
      <c r="L17" s="41"/>
      <c r="M17" s="116">
        <f t="shared" ca="1" si="7"/>
        <v>5.6236835906529031E-2</v>
      </c>
      <c r="N17" s="41"/>
      <c r="R17" s="116"/>
      <c r="S17" s="41"/>
    </row>
    <row r="18" spans="2:19" ht="15.5" x14ac:dyDescent="0.35">
      <c r="B18" s="33" t="s">
        <v>278</v>
      </c>
      <c r="C18" s="33"/>
      <c r="D18" s="40"/>
      <c r="E18" s="48">
        <f t="shared" ca="1" si="4"/>
        <v>924682.50000000035</v>
      </c>
      <c r="F18" s="34">
        <f ca="1">+INDEX('Phase I Pro Forma'!$F$91:$Z$91,1,MATCH(1,'Phase I Pro Forma'!$F$3:$Z$3,0))</f>
        <v>181687.5</v>
      </c>
      <c r="G18" s="34">
        <f ca="1">+INDEX('Phase II Pro Forma'!$F$91:$Z$91,1,MATCH(1,'Phase II Pro Forma'!$F$3:$Z$3,0))</f>
        <v>0</v>
      </c>
      <c r="H18" s="34">
        <f ca="1">+INDEX('Phase III Pro Forma'!$F$91:$Z$91,1,MATCH(1,'Phase III Pro Forma'!$F$3:$Z$3,0))</f>
        <v>742994.99999999965</v>
      </c>
      <c r="I18" s="116">
        <f t="shared" ca="1" si="5"/>
        <v>7.0100291164909003E-3</v>
      </c>
      <c r="J18" s="41"/>
      <c r="K18" s="116">
        <f t="shared" ca="1" si="6"/>
        <v>0</v>
      </c>
      <c r="L18" s="41"/>
      <c r="M18" s="116">
        <f t="shared" ca="1" si="7"/>
        <v>2.8400166953854892E-2</v>
      </c>
      <c r="N18" s="41"/>
      <c r="R18" s="116"/>
      <c r="S18" s="41"/>
    </row>
    <row r="19" spans="2:19" ht="15.5" x14ac:dyDescent="0.35">
      <c r="B19" s="33" t="s">
        <v>279</v>
      </c>
      <c r="C19" s="33"/>
      <c r="D19" s="40"/>
      <c r="E19" s="48">
        <f t="shared" ca="1" si="4"/>
        <v>23823862.553737573</v>
      </c>
      <c r="F19" s="34">
        <f ca="1">+INDEX('Phase I Pro Forma'!$F$112:$Z$112,1,MATCH(1,'Phase I Pro Forma'!$F$3:$Z$3,0))</f>
        <v>8203415.3296375386</v>
      </c>
      <c r="G19" s="34">
        <f ca="1">+INDEX('Phase II Pro Forma'!$F$112:$Z$112,1,MATCH(1,'Phase II Pro Forma'!$F$3:$Z$3,0))</f>
        <v>2808467.2674693763</v>
      </c>
      <c r="H19" s="34">
        <f ca="1">+INDEX('Phase III Pro Forma'!$F$112:$Z$112,1,MATCH(1,'Phase III Pro Forma'!$F$3:$Z$3,0))</f>
        <v>12811979.956630651</v>
      </c>
      <c r="I19" s="116">
        <f t="shared" ca="1" si="5"/>
        <v>0.31651148436423499</v>
      </c>
      <c r="J19" s="41"/>
      <c r="K19" s="116">
        <f t="shared" ca="1" si="6"/>
        <v>0.18824633637366364</v>
      </c>
      <c r="L19" s="41"/>
      <c r="M19" s="116">
        <f t="shared" ca="1" si="7"/>
        <v>0.48972384710227285</v>
      </c>
      <c r="N19" s="41"/>
      <c r="R19" s="116"/>
      <c r="S19" s="41"/>
    </row>
    <row r="20" spans="2:19" ht="15.5" x14ac:dyDescent="0.35">
      <c r="B20" s="33" t="s">
        <v>280</v>
      </c>
      <c r="C20" s="33"/>
      <c r="D20" s="40"/>
      <c r="E20" s="48">
        <f t="shared" ca="1" si="4"/>
        <v>951344.29662959033</v>
      </c>
      <c r="F20" s="34">
        <f ca="1">+INDEX('Phase I Pro Forma'!$F$134:$Z$134,1,MATCH(1,'Phase I Pro Forma'!$F$3:$Z$3,0))</f>
        <v>190129.76634441287</v>
      </c>
      <c r="G20" s="34">
        <f ca="1">+INDEX('Phase II Pro Forma'!$F$134:$Z$134,1,MATCH(1,'Phase II Pro Forma'!$F$3:$Z$3,0))</f>
        <v>252626.10775784421</v>
      </c>
      <c r="H20" s="34">
        <f ca="1">+INDEX('Phase III Pro Forma'!$F$134:$Z$134,1,MATCH(1,'Phase III Pro Forma'!$F$3:$Z$3,0))</f>
        <v>508588.42252733326</v>
      </c>
      <c r="I20" s="116">
        <f t="shared" ca="1" si="5"/>
        <v>7.3357561636653371E-3</v>
      </c>
      <c r="J20" s="41"/>
      <c r="K20" s="116">
        <f t="shared" ca="1" si="6"/>
        <v>1.6933058045075149E-2</v>
      </c>
      <c r="L20" s="41"/>
      <c r="M20" s="116">
        <f t="shared" ca="1" si="7"/>
        <v>1.9440233259408159E-2</v>
      </c>
      <c r="N20" s="41"/>
      <c r="R20" s="116"/>
      <c r="S20" s="41"/>
    </row>
    <row r="21" spans="2:19" ht="5.25" customHeight="1" x14ac:dyDescent="0.35">
      <c r="B21" s="33"/>
      <c r="C21" s="33"/>
      <c r="D21" s="40"/>
      <c r="E21" s="48"/>
      <c r="F21" s="34"/>
      <c r="G21" s="34"/>
      <c r="H21" s="34"/>
      <c r="I21" s="41"/>
      <c r="J21" s="41"/>
      <c r="K21" s="41"/>
      <c r="L21" s="41"/>
      <c r="M21" s="41"/>
      <c r="N21" s="41"/>
    </row>
    <row r="22" spans="2:19" ht="15.5" x14ac:dyDescent="0.35">
      <c r="B22" s="33" t="s">
        <v>184</v>
      </c>
      <c r="C22" s="33"/>
      <c r="D22" s="44"/>
      <c r="E22" s="152"/>
      <c r="F22" s="114">
        <f>+Assumptions!N150</f>
        <v>1.25</v>
      </c>
      <c r="G22" s="114">
        <f>+Assumptions!O150</f>
        <v>1.25</v>
      </c>
      <c r="H22" s="114">
        <f>+Assumptions!P150</f>
        <v>1.25</v>
      </c>
      <c r="I22" s="41"/>
      <c r="J22" s="41"/>
      <c r="K22" s="41"/>
      <c r="L22" s="41"/>
      <c r="M22" s="41"/>
      <c r="N22" s="41"/>
    </row>
    <row r="23" spans="2:19" ht="15.5" x14ac:dyDescent="0.35">
      <c r="B23" s="33" t="s">
        <v>283</v>
      </c>
      <c r="C23" s="33"/>
      <c r="D23" s="44"/>
      <c r="E23" s="48"/>
      <c r="F23" s="34">
        <f ca="1">+SUM(F15:F20)/F22</f>
        <v>16332095.514310349</v>
      </c>
      <c r="G23" s="34">
        <f ca="1">+SUM(G15:G20)/G22</f>
        <v>9122748.3718638476</v>
      </c>
      <c r="H23" s="34">
        <f ca="1">+SUM(H15:H20)/H22</f>
        <v>18202300.052747902</v>
      </c>
      <c r="I23" s="41"/>
      <c r="J23" s="41"/>
      <c r="K23" s="41"/>
      <c r="L23" s="41"/>
      <c r="M23" s="41"/>
      <c r="N23" s="41"/>
    </row>
    <row r="24" spans="2:19" ht="15.5" x14ac:dyDescent="0.35">
      <c r="B24" s="33" t="s">
        <v>165</v>
      </c>
      <c r="C24" s="33"/>
      <c r="D24" s="44"/>
      <c r="E24" s="152"/>
      <c r="F24" s="113">
        <f>+Assumptions!N153</f>
        <v>30</v>
      </c>
      <c r="G24" s="113">
        <f>+Assumptions!O153</f>
        <v>30</v>
      </c>
      <c r="H24" s="113">
        <f>+Assumptions!P153</f>
        <v>30</v>
      </c>
      <c r="I24" s="41"/>
      <c r="J24" s="41"/>
      <c r="K24" s="41"/>
      <c r="L24" s="41"/>
      <c r="M24" s="41"/>
      <c r="N24" s="41"/>
    </row>
    <row r="25" spans="2:19" ht="15.5" x14ac:dyDescent="0.35">
      <c r="B25" s="33" t="s">
        <v>158</v>
      </c>
      <c r="C25" s="33"/>
      <c r="D25" s="44"/>
      <c r="E25" s="152"/>
      <c r="F25" s="154">
        <f>+Assumptions!N151</f>
        <v>6.5000000000000002E-2</v>
      </c>
      <c r="G25" s="154">
        <f>+Assumptions!O151</f>
        <v>6.5000000000000002E-2</v>
      </c>
      <c r="H25" s="154">
        <f>+Assumptions!P151</f>
        <v>6.5000000000000002E-2</v>
      </c>
      <c r="I25" s="41"/>
      <c r="J25" s="41"/>
      <c r="K25" s="41"/>
      <c r="L25" s="41"/>
      <c r="M25" s="41"/>
      <c r="N25" s="41"/>
    </row>
    <row r="26" spans="2:19" ht="15.5" x14ac:dyDescent="0.35">
      <c r="B26" s="137" t="s">
        <v>281</v>
      </c>
      <c r="C26" s="137"/>
      <c r="D26" s="137"/>
      <c r="E26" s="36">
        <f ca="1">+SUM(F26:H26)</f>
        <v>570104493.68010163</v>
      </c>
      <c r="F26" s="129">
        <f ca="1">+PV(F25,F24,-F23)</f>
        <v>213275542.18726224</v>
      </c>
      <c r="G26" s="129">
        <f ca="1">+PV(G25,G24,-G23)</f>
        <v>119131014.3601854</v>
      </c>
      <c r="H26" s="129">
        <f ca="1">+PV(H25,H24,-H23)</f>
        <v>237697937.13265392</v>
      </c>
      <c r="I26" s="41"/>
      <c r="J26" s="41"/>
      <c r="K26" s="41"/>
      <c r="L26" s="41"/>
      <c r="M26" s="41"/>
      <c r="N26" s="41"/>
    </row>
    <row r="27" spans="2:19" ht="5.25" customHeight="1" x14ac:dyDescent="0.35">
      <c r="B27" s="5"/>
      <c r="D27" s="3"/>
      <c r="E27" s="2"/>
      <c r="I27" s="41"/>
      <c r="J27" s="41"/>
      <c r="K27" s="41"/>
      <c r="L27" s="41"/>
      <c r="M27" s="41"/>
      <c r="N27" s="41"/>
    </row>
    <row r="28" spans="2:19" ht="15.5" x14ac:dyDescent="0.35">
      <c r="B28" s="35" t="s">
        <v>284</v>
      </c>
      <c r="C28" s="35"/>
      <c r="D28" s="35"/>
      <c r="E28" s="36">
        <f ca="1">+SUM(F28:H28)</f>
        <v>570104493.68010163</v>
      </c>
      <c r="F28" s="36">
        <f ca="1">+MIN(F26,F13)</f>
        <v>213275542.18726224</v>
      </c>
      <c r="G28" s="36">
        <f ca="1">+MIN(G26,G13)</f>
        <v>119131014.3601854</v>
      </c>
      <c r="H28" s="36">
        <f ca="1">+MIN(H26,H13)</f>
        <v>237697937.13265392</v>
      </c>
      <c r="I28" s="41"/>
      <c r="J28" s="41"/>
      <c r="K28" s="41"/>
      <c r="L28" s="41"/>
      <c r="M28" s="41"/>
      <c r="N28" s="41"/>
    </row>
    <row r="29" spans="2:19" ht="15.5" x14ac:dyDescent="0.35">
      <c r="B29" s="5"/>
      <c r="D29" s="3"/>
      <c r="E29" s="2"/>
      <c r="I29" s="41"/>
      <c r="J29" s="41"/>
      <c r="K29" s="41"/>
      <c r="L29" s="41"/>
      <c r="M29" s="41"/>
      <c r="N29" s="41"/>
    </row>
    <row r="30" spans="2:19" ht="15.5" x14ac:dyDescent="0.35">
      <c r="B30" s="161" t="s">
        <v>167</v>
      </c>
      <c r="C30" s="158"/>
      <c r="D30" s="159"/>
      <c r="E30" s="160"/>
      <c r="F30" s="162" t="str">
        <f ca="1">+F$3</f>
        <v>I</v>
      </c>
      <c r="G30" s="162" t="str">
        <f ca="1">+G$3</f>
        <v>II</v>
      </c>
      <c r="H30" s="162" t="str">
        <f ca="1">+H$3</f>
        <v>III</v>
      </c>
      <c r="I30" s="41"/>
      <c r="J30" s="41"/>
      <c r="K30" s="41"/>
      <c r="L30" s="41"/>
      <c r="M30" s="41"/>
      <c r="N30" s="41"/>
    </row>
    <row r="31" spans="2:19" ht="15.5" x14ac:dyDescent="0.35">
      <c r="B31" s="33" t="s">
        <v>320</v>
      </c>
      <c r="C31" s="33"/>
      <c r="D31" s="40"/>
      <c r="E31" s="48">
        <f ca="1">+SUM(F31:H31)</f>
        <v>132695410.90113167</v>
      </c>
      <c r="F31" s="34">
        <f ca="1">+INDEX('Phase I Pro Forma'!$F$208:$Z$208,1,MATCH(1,'Phase I Pro Forma'!$F$3:$Z$3,0))</f>
        <v>76865191.335270256</v>
      </c>
      <c r="G31" s="34">
        <f ca="1">+INDEX('Phase II Pro Forma'!$F$208:$Z$208,1,MATCH(1,'Phase II Pro Forma'!$F$3:$Z$3,0))</f>
        <v>48241356.96065966</v>
      </c>
      <c r="H31" s="34">
        <f ca="1">+INDEX('Phase III Pro Forma'!$F$208:$Z$208,1,MATCH(1,'Phase III Pro Forma'!$F$3:$Z$3,0))</f>
        <v>7588862.605201764</v>
      </c>
      <c r="I31" s="41"/>
      <c r="J31" s="116">
        <f ca="1">+F31/$F$63</f>
        <v>0.18637225864274973</v>
      </c>
      <c r="K31" s="41"/>
      <c r="L31" s="116">
        <f ca="1">+G31/$G$63</f>
        <v>0.2017662867662387</v>
      </c>
      <c r="M31" s="41"/>
      <c r="N31" s="116">
        <f ca="1">+H31/$H$63</f>
        <v>1.7679050221434414E-2</v>
      </c>
      <c r="O31" s="34"/>
      <c r="S31" s="116"/>
    </row>
    <row r="32" spans="2:19" ht="15.5" x14ac:dyDescent="0.35">
      <c r="B32" s="33"/>
      <c r="C32" s="33"/>
      <c r="D32" s="40"/>
      <c r="E32" s="48"/>
      <c r="F32" s="34"/>
      <c r="G32" s="34"/>
      <c r="H32" s="34"/>
      <c r="I32" s="41"/>
      <c r="J32" s="41"/>
      <c r="K32" s="41"/>
      <c r="L32" s="41"/>
      <c r="M32" s="41"/>
      <c r="N32" s="41"/>
    </row>
    <row r="33" spans="2:19" ht="15.5" x14ac:dyDescent="0.35">
      <c r="B33" s="33" t="s">
        <v>185</v>
      </c>
      <c r="C33" s="33"/>
      <c r="D33" s="44"/>
      <c r="E33" s="152"/>
      <c r="F33" s="153">
        <f>+Assumptions!N155</f>
        <v>0.8</v>
      </c>
      <c r="G33" s="153">
        <f>+Assumptions!O155</f>
        <v>0.8</v>
      </c>
      <c r="H33" s="153">
        <f>+Assumptions!P155</f>
        <v>0.8</v>
      </c>
      <c r="I33" s="41"/>
      <c r="J33" s="41"/>
      <c r="K33" s="41"/>
      <c r="L33" s="41"/>
      <c r="M33" s="41"/>
      <c r="N33" s="41"/>
    </row>
    <row r="34" spans="2:19" ht="15.5" x14ac:dyDescent="0.35">
      <c r="B34" s="137" t="s">
        <v>276</v>
      </c>
      <c r="C34" s="137"/>
      <c r="D34" s="137"/>
      <c r="E34" s="36">
        <f ca="1">+SUM(F34:H34)</f>
        <v>106156328.72090535</v>
      </c>
      <c r="F34" s="129">
        <f ca="1">+F33*SUM(F31)</f>
        <v>61492153.068216205</v>
      </c>
      <c r="G34" s="129">
        <f ca="1">+G33*SUM(G31)</f>
        <v>38593085.568527728</v>
      </c>
      <c r="H34" s="129">
        <f ca="1">+H33*SUM(H31)</f>
        <v>6071090.084161412</v>
      </c>
      <c r="I34" s="41"/>
      <c r="J34" s="41"/>
      <c r="K34" s="41"/>
      <c r="L34" s="41"/>
      <c r="M34" s="41"/>
      <c r="N34" s="41"/>
    </row>
    <row r="35" spans="2:19" ht="15.5" x14ac:dyDescent="0.35">
      <c r="B35" s="6"/>
      <c r="D35" s="4"/>
      <c r="I35" s="41"/>
      <c r="J35" s="41"/>
      <c r="K35" s="41"/>
      <c r="L35" s="41"/>
      <c r="M35" s="41"/>
      <c r="N35" s="41"/>
    </row>
    <row r="36" spans="2:19" ht="15.5" x14ac:dyDescent="0.35">
      <c r="B36" s="33" t="s">
        <v>319</v>
      </c>
      <c r="C36" s="33"/>
      <c r="D36" s="40"/>
      <c r="E36" s="48">
        <f ca="1">+SUM(F36:H36)</f>
        <v>9562749.0015309006</v>
      </c>
      <c r="F36" s="34">
        <f ca="1">+INDEX('Phase I Pro Forma'!$F$206:$Z$206,1,MATCH(1,'Phase I Pro Forma'!$F$3:$Z$3,0))</f>
        <v>5503103.9098521462</v>
      </c>
      <c r="G36" s="34">
        <f ca="1">+INDEX('Phase II Pro Forma'!$F$206:$Z$206,1,MATCH(1,'Phase II Pro Forma'!$F$3:$Z$3,0))</f>
        <v>3515671.7091469439</v>
      </c>
      <c r="H36" s="34">
        <f ca="1">+INDEX('Phase III Pro Forma'!$F$206:$Z$206,1,MATCH(1,'Phase III Pro Forma'!$F$3:$Z$3,0))</f>
        <v>543973.38253181055</v>
      </c>
      <c r="I36" s="116">
        <f ca="1">+F36/$F$62</f>
        <v>0.2123256615845254</v>
      </c>
      <c r="J36" s="41"/>
      <c r="K36" s="116">
        <f ca="1">+G36/$G$62</f>
        <v>0.23564893449364904</v>
      </c>
      <c r="L36" s="41"/>
      <c r="M36" s="116">
        <f ca="1">+H36/$H$62</f>
        <v>2.0792784449904241E-2</v>
      </c>
      <c r="N36" s="41"/>
      <c r="O36" s="34"/>
      <c r="R36" s="116"/>
    </row>
    <row r="37" spans="2:19" ht="15.5" x14ac:dyDescent="0.35">
      <c r="B37" s="6"/>
      <c r="D37" s="4"/>
      <c r="I37" s="41"/>
      <c r="J37" s="41"/>
      <c r="K37" s="41"/>
      <c r="L37" s="41"/>
      <c r="M37" s="41"/>
      <c r="N37" s="41"/>
    </row>
    <row r="38" spans="2:19" ht="15.5" x14ac:dyDescent="0.35">
      <c r="B38" s="33" t="s">
        <v>184</v>
      </c>
      <c r="C38" s="33"/>
      <c r="D38" s="44"/>
      <c r="E38" s="152"/>
      <c r="F38" s="114">
        <f>+Assumptions!N156</f>
        <v>1.3</v>
      </c>
      <c r="G38" s="114">
        <f>+Assumptions!O156</f>
        <v>1.3</v>
      </c>
      <c r="H38" s="114">
        <f>+Assumptions!P156</f>
        <v>1.3</v>
      </c>
      <c r="I38" s="41"/>
      <c r="J38" s="41"/>
      <c r="K38" s="41"/>
      <c r="L38" s="41"/>
      <c r="M38" s="41"/>
      <c r="N38" s="41"/>
    </row>
    <row r="39" spans="2:19" ht="15.5" x14ac:dyDescent="0.35">
      <c r="B39" s="33" t="s">
        <v>283</v>
      </c>
      <c r="C39" s="33"/>
      <c r="D39" s="44"/>
      <c r="E39" s="48"/>
      <c r="F39" s="34">
        <f ca="1">+SUM(F36)/F38</f>
        <v>4233156.8537324201</v>
      </c>
      <c r="G39" s="34">
        <f ca="1">+SUM(G36)/G38</f>
        <v>2704362.8531899569</v>
      </c>
      <c r="H39" s="34">
        <f ca="1">+SUM(H36)/H38</f>
        <v>418441.06348600809</v>
      </c>
      <c r="I39" s="41"/>
      <c r="J39" s="41"/>
      <c r="K39" s="41"/>
      <c r="L39" s="41"/>
      <c r="M39" s="41"/>
      <c r="N39" s="41"/>
    </row>
    <row r="40" spans="2:19" ht="15.5" x14ac:dyDescent="0.35">
      <c r="B40" s="33" t="s">
        <v>165</v>
      </c>
      <c r="C40" s="33"/>
      <c r="D40" s="44"/>
      <c r="E40" s="152"/>
      <c r="F40" s="163" t="s">
        <v>170</v>
      </c>
      <c r="G40" s="163" t="s">
        <v>170</v>
      </c>
      <c r="H40" s="163" t="s">
        <v>170</v>
      </c>
      <c r="I40" s="41"/>
      <c r="J40" s="41"/>
      <c r="K40" s="41"/>
      <c r="L40" s="41"/>
      <c r="M40" s="41"/>
      <c r="N40" s="41"/>
    </row>
    <row r="41" spans="2:19" ht="15.5" x14ac:dyDescent="0.35">
      <c r="B41" s="33" t="s">
        <v>158</v>
      </c>
      <c r="C41" s="33"/>
      <c r="D41" s="44"/>
      <c r="E41" s="152"/>
      <c r="F41" s="154">
        <f>+Assumptions!N157</f>
        <v>0.06</v>
      </c>
      <c r="G41" s="154">
        <f>+Assumptions!O157</f>
        <v>0.06</v>
      </c>
      <c r="H41" s="154">
        <f>+Assumptions!P157</f>
        <v>0.06</v>
      </c>
      <c r="I41" s="41"/>
      <c r="J41" s="41"/>
      <c r="K41" s="41"/>
      <c r="L41" s="41"/>
      <c r="M41" s="41"/>
      <c r="N41" s="41"/>
    </row>
    <row r="42" spans="2:19" ht="15.5" x14ac:dyDescent="0.35">
      <c r="B42" s="137" t="s">
        <v>281</v>
      </c>
      <c r="C42" s="137"/>
      <c r="D42" s="137"/>
      <c r="E42" s="36">
        <f ca="1">+SUM(F42:H42)</f>
        <v>122599346.17347309</v>
      </c>
      <c r="F42" s="129">
        <f ca="1">+F39/F41</f>
        <v>70552614.22887367</v>
      </c>
      <c r="G42" s="129">
        <f ca="1">+G39/G41</f>
        <v>45072714.219832614</v>
      </c>
      <c r="H42" s="129">
        <f ca="1">+H39/H41</f>
        <v>6974017.724766802</v>
      </c>
      <c r="I42" s="41"/>
      <c r="J42" s="41"/>
      <c r="K42" s="41"/>
      <c r="L42" s="41"/>
      <c r="M42" s="41"/>
      <c r="N42" s="41"/>
    </row>
    <row r="43" spans="2:19" ht="15.5" x14ac:dyDescent="0.35">
      <c r="B43" s="5"/>
      <c r="D43" s="3"/>
      <c r="E43" s="2"/>
      <c r="I43" s="41"/>
      <c r="J43" s="41"/>
      <c r="K43" s="41"/>
      <c r="L43" s="41"/>
      <c r="M43" s="41"/>
      <c r="N43" s="41"/>
    </row>
    <row r="44" spans="2:19" ht="15.5" x14ac:dyDescent="0.35">
      <c r="B44" s="35" t="s">
        <v>284</v>
      </c>
      <c r="C44" s="35"/>
      <c r="D44" s="35"/>
      <c r="E44" s="36">
        <f ca="1">+SUM(F44:H44)</f>
        <v>106156328.72090535</v>
      </c>
      <c r="F44" s="36">
        <f ca="1">+MIN(F42,F34)</f>
        <v>61492153.068216205</v>
      </c>
      <c r="G44" s="36">
        <f ca="1">+MIN(G42,G34)</f>
        <v>38593085.568527728</v>
      </c>
      <c r="H44" s="36">
        <f ca="1">+MIN(H42,H34)</f>
        <v>6071090.084161412</v>
      </c>
      <c r="I44" s="41"/>
      <c r="J44" s="41"/>
      <c r="K44" s="41"/>
      <c r="L44" s="41"/>
      <c r="M44" s="41"/>
      <c r="N44" s="41"/>
    </row>
    <row r="45" spans="2:19" ht="15.5" x14ac:dyDescent="0.35">
      <c r="B45" s="6"/>
      <c r="I45" s="41"/>
      <c r="J45" s="41"/>
      <c r="K45" s="41"/>
      <c r="L45" s="41"/>
      <c r="M45" s="41"/>
      <c r="N45" s="41"/>
    </row>
    <row r="46" spans="2:19" ht="15.5" x14ac:dyDescent="0.35">
      <c r="B46" s="161" t="s">
        <v>265</v>
      </c>
      <c r="C46" s="158"/>
      <c r="D46" s="159"/>
      <c r="E46" s="160"/>
      <c r="F46" s="162" t="str">
        <f ca="1">+F$3</f>
        <v>I</v>
      </c>
      <c r="G46" s="162" t="str">
        <f ca="1">+G$3</f>
        <v>II</v>
      </c>
      <c r="H46" s="162" t="str">
        <f ca="1">+H$3</f>
        <v>III</v>
      </c>
      <c r="I46" s="41"/>
      <c r="J46" s="41"/>
      <c r="K46" s="41"/>
      <c r="L46" s="41"/>
      <c r="M46" s="41"/>
      <c r="N46" s="41"/>
      <c r="R46" s="41"/>
      <c r="S46" s="116"/>
    </row>
    <row r="47" spans="2:19" ht="15.5" x14ac:dyDescent="0.35">
      <c r="B47" s="33" t="s">
        <v>321</v>
      </c>
      <c r="C47" s="33"/>
      <c r="D47" s="40"/>
      <c r="E47" s="48">
        <f ca="1">+SUM(F47:H47)</f>
        <v>52087155.107055284</v>
      </c>
      <c r="F47" s="34">
        <f ca="1">+INDEX('Phase I Pro Forma'!$F$253:$Z$253,1,MATCH(1,'Phase I Pro Forma'!$F$3:$Z$3,0))</f>
        <v>2.0509090909090905E-4</v>
      </c>
      <c r="G47" s="34">
        <f ca="1">+INDEX('Phase II Pro Forma'!$F$253:$Z$253,1,MATCH(1,'Phase II Pro Forma'!$F$3:$Z$3,0))</f>
        <v>2.1337658181818181E-4</v>
      </c>
      <c r="H47" s="34">
        <f ca="1">+INDEX('Phase III Pro Forma'!$F$253:$Z$253,1,MATCH(1,'Phase III Pro Forma'!$F$3:$Z$3,0))</f>
        <v>52087155.106636815</v>
      </c>
      <c r="I47" s="41"/>
      <c r="J47" s="116">
        <f ca="1">+F47/$F$63</f>
        <v>4.9727653428514276E-13</v>
      </c>
      <c r="K47" s="41"/>
      <c r="L47" s="116">
        <f ca="1">+G47/$G$63</f>
        <v>8.9243344940391493E-13</v>
      </c>
      <c r="M47" s="41"/>
      <c r="N47" s="116">
        <f ca="1">+H47/$H$63</f>
        <v>0.1213424829157773</v>
      </c>
      <c r="O47" s="34"/>
      <c r="R47" s="41"/>
      <c r="S47" s="41"/>
    </row>
    <row r="48" spans="2:19" ht="15.5" x14ac:dyDescent="0.35">
      <c r="B48" s="33"/>
      <c r="C48" s="33"/>
      <c r="D48" s="40"/>
      <c r="E48" s="48"/>
      <c r="F48" s="34"/>
      <c r="G48" s="34"/>
      <c r="H48" s="34"/>
      <c r="I48" s="41"/>
      <c r="J48" s="41"/>
      <c r="K48" s="41"/>
      <c r="L48" s="41"/>
      <c r="M48" s="41"/>
      <c r="N48" s="41"/>
      <c r="R48" s="41"/>
      <c r="S48" s="41"/>
    </row>
    <row r="49" spans="2:19" ht="15.5" x14ac:dyDescent="0.35">
      <c r="B49" s="33" t="s">
        <v>185</v>
      </c>
      <c r="C49" s="33"/>
      <c r="D49" s="44"/>
      <c r="E49" s="152"/>
      <c r="F49" s="153">
        <f>+Assumptions!N161</f>
        <v>0.75</v>
      </c>
      <c r="G49" s="153">
        <f>+Assumptions!O161</f>
        <v>0.75</v>
      </c>
      <c r="H49" s="153">
        <f>+Assumptions!P161</f>
        <v>0.75</v>
      </c>
      <c r="I49" s="41"/>
      <c r="J49" s="41"/>
      <c r="K49" s="41"/>
      <c r="L49" s="41"/>
      <c r="M49" s="41"/>
      <c r="N49" s="41"/>
      <c r="R49" s="41"/>
      <c r="S49" s="41"/>
    </row>
    <row r="50" spans="2:19" ht="15.5" x14ac:dyDescent="0.35">
      <c r="B50" s="137" t="s">
        <v>276</v>
      </c>
      <c r="C50" s="137"/>
      <c r="D50" s="137"/>
      <c r="E50" s="36">
        <f ca="1">+SUM(F50:H50)</f>
        <v>39065366.330291457</v>
      </c>
      <c r="F50" s="129">
        <f ca="1">+F49*SUM(F47)</f>
        <v>1.5381818181818178E-4</v>
      </c>
      <c r="G50" s="129">
        <f ca="1">+G49*SUM(G47)</f>
        <v>1.6003243636363636E-4</v>
      </c>
      <c r="H50" s="129">
        <f ca="1">+H49*SUM(H47)</f>
        <v>39065366.329977609</v>
      </c>
      <c r="I50" s="41"/>
      <c r="J50" s="41"/>
      <c r="K50" s="41"/>
      <c r="L50" s="41"/>
      <c r="M50" s="41"/>
      <c r="N50" s="41"/>
      <c r="R50" s="41"/>
      <c r="S50" s="41"/>
    </row>
    <row r="51" spans="2:19" ht="15.5" x14ac:dyDescent="0.35">
      <c r="B51" s="6"/>
      <c r="D51" s="4"/>
      <c r="I51" s="41"/>
      <c r="J51" s="41"/>
      <c r="K51" s="41"/>
      <c r="L51" s="41"/>
      <c r="M51" s="41"/>
      <c r="N51" s="41"/>
      <c r="R51" s="116"/>
      <c r="S51" s="41"/>
    </row>
    <row r="52" spans="2:19" ht="15.5" x14ac:dyDescent="0.35">
      <c r="B52" s="33" t="s">
        <v>322</v>
      </c>
      <c r="C52" s="33"/>
      <c r="D52" s="40"/>
      <c r="E52" s="48">
        <f ca="1">+SUM(F52:H52)</f>
        <v>2864793.5308880406</v>
      </c>
      <c r="F52" s="34">
        <f ca="1">+INDEX('Phase I Pro Forma'!$F$251:$Z$251,1,MATCH(1,'Phase I Pro Forma'!$F$3:$Z$3,0))</f>
        <v>1.1279999999999999E-5</v>
      </c>
      <c r="G52" s="34">
        <f ca="1">+INDEX('Phase II Pro Forma'!$F$251:$Z$251,1,MATCH(1,'Phase II Pro Forma'!$F$3:$Z$3,0))</f>
        <v>1.1735712E-5</v>
      </c>
      <c r="H52" s="34">
        <f ca="1">+INDEX('Phase III Pro Forma'!$F$251:$Z$251,1,MATCH(1,'Phase III Pro Forma'!$F$3:$Z$3,0))</f>
        <v>2864793.5308650248</v>
      </c>
      <c r="I52" s="116">
        <f ca="1">+F52/$F$62</f>
        <v>4.3521501718069402E-13</v>
      </c>
      <c r="J52" s="41"/>
      <c r="K52" s="116">
        <f ca="1">+G52/$G$62</f>
        <v>7.8662294352716006E-13</v>
      </c>
      <c r="L52" s="41"/>
      <c r="M52" s="116">
        <f ca="1">+H52/$H$62</f>
        <v>0.10950358288399006</v>
      </c>
      <c r="N52" s="41"/>
      <c r="O52" s="34"/>
    </row>
    <row r="53" spans="2:19" ht="15.5" x14ac:dyDescent="0.35">
      <c r="B53" s="6"/>
      <c r="D53" s="4"/>
      <c r="I53" s="41"/>
      <c r="J53" s="41"/>
      <c r="K53" s="41"/>
      <c r="L53" s="41"/>
      <c r="M53" s="41"/>
      <c r="N53" s="41"/>
    </row>
    <row r="54" spans="2:19" ht="15.5" x14ac:dyDescent="0.35">
      <c r="B54" s="33" t="s">
        <v>184</v>
      </c>
      <c r="C54" s="33"/>
      <c r="D54" s="44"/>
      <c r="E54" s="152"/>
      <c r="F54" s="114">
        <f>+Assumptions!N162</f>
        <v>1.3</v>
      </c>
      <c r="G54" s="114">
        <f>+Assumptions!O162</f>
        <v>1.3</v>
      </c>
      <c r="H54" s="114">
        <f>+Assumptions!P162</f>
        <v>1.3</v>
      </c>
      <c r="I54" s="41"/>
      <c r="J54" s="41"/>
      <c r="K54" s="41"/>
      <c r="L54" s="41"/>
      <c r="M54" s="41"/>
      <c r="N54" s="41"/>
    </row>
    <row r="55" spans="2:19" ht="15.5" x14ac:dyDescent="0.35">
      <c r="B55" s="33" t="s">
        <v>283</v>
      </c>
      <c r="C55" s="33"/>
      <c r="D55" s="44"/>
      <c r="E55" s="48"/>
      <c r="F55" s="34">
        <f ca="1">+SUM(F52)/F54</f>
        <v>8.6769230769230763E-6</v>
      </c>
      <c r="G55" s="34">
        <f ca="1">+SUM(G52)/G54</f>
        <v>9.0274707692307679E-6</v>
      </c>
      <c r="H55" s="34">
        <f ca="1">+SUM(H52)/H54</f>
        <v>2203687.3314346345</v>
      </c>
      <c r="I55" s="41"/>
      <c r="J55" s="41"/>
      <c r="K55" s="41"/>
      <c r="L55" s="41"/>
      <c r="M55" s="41"/>
      <c r="N55" s="41"/>
    </row>
    <row r="56" spans="2:19" ht="15.5" x14ac:dyDescent="0.35">
      <c r="B56" s="33" t="s">
        <v>165</v>
      </c>
      <c r="C56" s="33"/>
      <c r="D56" s="44"/>
      <c r="E56" s="152"/>
      <c r="F56" s="163" t="s">
        <v>170</v>
      </c>
      <c r="G56" s="163" t="s">
        <v>170</v>
      </c>
      <c r="H56" s="163" t="s">
        <v>170</v>
      </c>
      <c r="I56" s="41"/>
      <c r="J56" s="41"/>
      <c r="K56" s="41"/>
      <c r="L56" s="41"/>
      <c r="M56" s="41"/>
      <c r="N56" s="41"/>
    </row>
    <row r="57" spans="2:19" ht="15.5" x14ac:dyDescent="0.35">
      <c r="B57" s="33" t="s">
        <v>158</v>
      </c>
      <c r="C57" s="33"/>
      <c r="D57" s="44"/>
      <c r="E57" s="152"/>
      <c r="F57" s="154">
        <f>+Assumptions!N163</f>
        <v>5.5E-2</v>
      </c>
      <c r="G57" s="154">
        <f>+Assumptions!O163</f>
        <v>5.5E-2</v>
      </c>
      <c r="H57" s="154">
        <f>+Assumptions!P163</f>
        <v>5.5E-2</v>
      </c>
      <c r="I57" s="41"/>
      <c r="J57" s="41"/>
      <c r="K57" s="41"/>
      <c r="L57" s="41"/>
      <c r="M57" s="41"/>
      <c r="N57" s="41"/>
    </row>
    <row r="58" spans="2:19" ht="15.5" x14ac:dyDescent="0.35">
      <c r="B58" s="137" t="s">
        <v>281</v>
      </c>
      <c r="C58" s="137"/>
      <c r="D58" s="137"/>
      <c r="E58" s="36">
        <f ca="1">+SUM(F58:H58)</f>
        <v>40067042.390042521</v>
      </c>
      <c r="F58" s="129">
        <f ca="1">+F55/F57</f>
        <v>1.5776223776223775E-4</v>
      </c>
      <c r="G58" s="129">
        <f ca="1">+G55/G57</f>
        <v>1.6413583216783213E-4</v>
      </c>
      <c r="H58" s="129">
        <f ca="1">+H55/H57</f>
        <v>40067042.389720626</v>
      </c>
      <c r="I58" s="41"/>
      <c r="J58" s="41"/>
      <c r="K58" s="41"/>
      <c r="L58" s="41"/>
      <c r="M58" s="41"/>
      <c r="N58" s="41"/>
    </row>
    <row r="59" spans="2:19" ht="15.5" x14ac:dyDescent="0.35">
      <c r="B59" s="5"/>
      <c r="D59" s="3"/>
      <c r="E59" s="2"/>
      <c r="I59" s="41"/>
      <c r="J59" s="41"/>
      <c r="K59" s="41"/>
      <c r="L59" s="41"/>
      <c r="M59" s="41"/>
      <c r="N59" s="41"/>
    </row>
    <row r="60" spans="2:19" ht="15.5" x14ac:dyDescent="0.35">
      <c r="B60" s="35" t="s">
        <v>284</v>
      </c>
      <c r="C60" s="35"/>
      <c r="D60" s="35"/>
      <c r="E60" s="36">
        <f ca="1">+SUM(F60:H60)</f>
        <v>39065366.330291457</v>
      </c>
      <c r="F60" s="36">
        <f ca="1">+MIN(F58,F50)</f>
        <v>1.5381818181818178E-4</v>
      </c>
      <c r="G60" s="36">
        <f ca="1">+MIN(G58,G50)</f>
        <v>1.6003243636363636E-4</v>
      </c>
      <c r="H60" s="36">
        <f ca="1">+MIN(H58,H50)</f>
        <v>39065366.329977609</v>
      </c>
      <c r="I60" s="41"/>
      <c r="J60" s="41"/>
      <c r="K60" s="41"/>
      <c r="L60" s="41"/>
      <c r="M60" s="41"/>
      <c r="N60" s="41"/>
    </row>
    <row r="61" spans="2:19" ht="15.5" x14ac:dyDescent="0.35">
      <c r="B61" s="1"/>
      <c r="D61" s="4"/>
      <c r="I61" s="41"/>
      <c r="J61" s="41"/>
      <c r="K61" s="41"/>
      <c r="L61" s="41"/>
      <c r="M61" s="41"/>
      <c r="N61" s="41"/>
    </row>
    <row r="62" spans="2:19" ht="18.5" x14ac:dyDescent="0.35">
      <c r="B62" s="166" t="s">
        <v>327</v>
      </c>
      <c r="C62" s="166"/>
      <c r="D62" s="166"/>
      <c r="E62" s="139">
        <f ca="1">+SUM(F62:H62)</f>
        <v>66998972.456071571</v>
      </c>
      <c r="F62" s="167">
        <f ca="1">+SUM(F15:F20,F36,F52)</f>
        <v>25918223.302751362</v>
      </c>
      <c r="G62" s="167">
        <f ca="1">+SUM(G15:G20,G36,G52)</f>
        <v>14919107.173988489</v>
      </c>
      <c r="H62" s="167">
        <f ca="1">+SUM(H15:H20,H36,H52)</f>
        <v>26161641.979331713</v>
      </c>
      <c r="I62" s="168">
        <f ca="1">+SUM(I5:I61)</f>
        <v>0.99999999999999989</v>
      </c>
      <c r="K62" s="168">
        <f ca="1">+SUM(K5:K61)</f>
        <v>0.99999999999999989</v>
      </c>
      <c r="M62" s="168">
        <f ca="1">+SUM(M5:M61)</f>
        <v>0.99999999999999989</v>
      </c>
    </row>
    <row r="63" spans="2:19" ht="16" customHeight="1" x14ac:dyDescent="0.35">
      <c r="B63" s="166" t="s">
        <v>326</v>
      </c>
      <c r="C63" s="166"/>
      <c r="D63" s="166"/>
      <c r="E63" s="139">
        <f ca="1">+SUM(F63:H63)</f>
        <v>1080780888.0427213</v>
      </c>
      <c r="F63" s="167">
        <f ca="1">+SUM(F5:F10,F31,F47)</f>
        <v>412428286.77958113</v>
      </c>
      <c r="G63" s="167">
        <f ca="1">+SUM(G5:G10,G31,G47)</f>
        <v>239095231.09056801</v>
      </c>
      <c r="H63" s="167">
        <f ca="1">+SUM(H5:H10,H31,H47)</f>
        <v>429257370.17257196</v>
      </c>
      <c r="J63" s="168">
        <f ca="1">+SUM(J5:J61)</f>
        <v>0.99999999999999989</v>
      </c>
      <c r="L63" s="168">
        <f ca="1">+SUM(L5:L61)</f>
        <v>0.99999999999999978</v>
      </c>
      <c r="N63" s="168">
        <f ca="1">+SUM(N5:N61)</f>
        <v>0.99999999999999978</v>
      </c>
    </row>
    <row r="64" spans="2:19" ht="16" customHeight="1" x14ac:dyDescent="0.35">
      <c r="B64" s="166" t="s">
        <v>358</v>
      </c>
      <c r="C64" s="166"/>
      <c r="D64" s="166"/>
      <c r="E64" s="139">
        <f ca="1">+SUM(F64:H64)</f>
        <v>715326188.73129845</v>
      </c>
      <c r="F64" s="167">
        <f ca="1">+F60+F44+F28</f>
        <v>274767695.25563228</v>
      </c>
      <c r="G64" s="167">
        <f ca="1">+G60+G44+G28</f>
        <v>157724099.92887315</v>
      </c>
      <c r="H64" s="167">
        <f ca="1">+H60+H44+H28</f>
        <v>282834393.54679292</v>
      </c>
    </row>
    <row r="65" spans="2:18" ht="16" customHeight="1" x14ac:dyDescent="0.3">
      <c r="B65" s="829" t="s">
        <v>328</v>
      </c>
      <c r="C65" s="829"/>
      <c r="D65" s="829"/>
      <c r="E65" s="829"/>
      <c r="F65" s="829"/>
      <c r="G65" s="829"/>
      <c r="H65" s="829"/>
    </row>
    <row r="66" spans="2:18" ht="16" customHeight="1" x14ac:dyDescent="0.25">
      <c r="B66" s="1"/>
      <c r="D66" s="4"/>
    </row>
    <row r="67" spans="2:18" ht="21" customHeight="1" thickBot="1" x14ac:dyDescent="0.45">
      <c r="B67" s="119" t="s">
        <v>744</v>
      </c>
      <c r="C67" s="41"/>
      <c r="D67" s="41"/>
      <c r="E67" s="555" t="s">
        <v>661</v>
      </c>
      <c r="F67" s="555" t="s">
        <v>662</v>
      </c>
      <c r="G67" s="555" t="s">
        <v>177</v>
      </c>
      <c r="H67" s="555" t="s">
        <v>230</v>
      </c>
      <c r="J67" s="828" t="s">
        <v>744</v>
      </c>
      <c r="K67" s="828"/>
      <c r="L67" s="828"/>
      <c r="M67" s="828"/>
      <c r="N67" s="828"/>
      <c r="O67" s="828"/>
      <c r="P67" s="828"/>
      <c r="Q67" s="828"/>
      <c r="R67" s="828"/>
    </row>
    <row r="68" spans="2:18" ht="16" customHeight="1" x14ac:dyDescent="0.35">
      <c r="B68" s="41" t="s">
        <v>143</v>
      </c>
      <c r="C68" s="41"/>
      <c r="D68" s="41"/>
      <c r="E68" s="34">
        <f ca="1">-Budget!$M$82</f>
        <v>-73925488.874625638</v>
      </c>
      <c r="F68" s="554">
        <f ca="1">+'S&amp;U'!$Q$20*'Loan Sizing'!E68/'Loan Sizing'!$E$76+G68</f>
        <v>45432144.337932378</v>
      </c>
      <c r="G68" s="34">
        <f>+'S&amp;U'!$G$20</f>
        <v>32172132.924260452</v>
      </c>
      <c r="H68" s="42">
        <f ca="1">+Budget!$G$11</f>
        <v>323241.01511111116</v>
      </c>
    </row>
    <row r="69" spans="2:18" ht="16" customHeight="1" x14ac:dyDescent="0.35">
      <c r="B69" s="41" t="s">
        <v>144</v>
      </c>
      <c r="C69" s="41"/>
      <c r="D69" s="41"/>
      <c r="E69" s="34">
        <f ca="1">-Budget!$N$82</f>
        <v>-329247842.82206494</v>
      </c>
      <c r="F69" s="554">
        <f ca="1">+'S&amp;U'!$Q$20*'Loan Sizing'!E69/'Loan Sizing'!$E$76+G69</f>
        <v>62313500.631469585</v>
      </c>
      <c r="G69" s="34">
        <f ca="1">+'S&amp;U'!$G$22</f>
        <v>3256330.7674772362</v>
      </c>
      <c r="H69" s="42">
        <f ca="1">+Budget!$G$12</f>
        <v>1292964.0604444447</v>
      </c>
    </row>
    <row r="70" spans="2:18" ht="16" customHeight="1" x14ac:dyDescent="0.35">
      <c r="B70" s="41" t="s">
        <v>25</v>
      </c>
      <c r="C70" s="41"/>
      <c r="D70" s="41"/>
      <c r="E70" s="34">
        <f ca="1">-Budget!$O$82</f>
        <v>-112086527.52156897</v>
      </c>
      <c r="F70" s="554">
        <f ca="1">+'S&amp;U'!$Q$20*'Loan Sizing'!E70/'Loan Sizing'!$E$76+G70</f>
        <v>20104955.095738403</v>
      </c>
      <c r="G70" s="34">
        <v>0</v>
      </c>
      <c r="H70" s="42">
        <f ca="1">+Budget!$G$13</f>
        <v>476705</v>
      </c>
    </row>
    <row r="71" spans="2:18" ht="16" customHeight="1" x14ac:dyDescent="0.35">
      <c r="B71" s="41" t="s">
        <v>26</v>
      </c>
      <c r="C71" s="41"/>
      <c r="D71" s="41"/>
      <c r="E71" s="34">
        <f ca="1">-Budget!$P$82</f>
        <v>-93995968.768870398</v>
      </c>
      <c r="F71" s="554">
        <f ca="1">+'S&amp;U'!$Q$20*'Loan Sizing'!E71/'Loan Sizing'!$E$76+G71</f>
        <v>16860052.435069993</v>
      </c>
      <c r="G71" s="34">
        <v>0</v>
      </c>
      <c r="H71" s="42">
        <f ca="1">+Budget!$G$14</f>
        <v>358884.81333333335</v>
      </c>
    </row>
    <row r="72" spans="2:18" ht="16" customHeight="1" x14ac:dyDescent="0.35">
      <c r="B72" s="41" t="s">
        <v>147</v>
      </c>
      <c r="C72" s="41"/>
      <c r="D72" s="41"/>
      <c r="E72" s="34">
        <f ca="1">-Budget!$Q$82</f>
        <v>-36057767.796505988</v>
      </c>
      <c r="F72" s="554">
        <f ca="1">+'S&amp;U'!$Q$20*'Loan Sizing'!E72/'Loan Sizing'!$E$76+G72</f>
        <v>17543680.089998402</v>
      </c>
      <c r="G72" s="34">
        <f>+'S&amp;U'!$G$21</f>
        <v>11076000.000062399</v>
      </c>
      <c r="H72" s="42">
        <f ca="1">+Budget!$G$15</f>
        <v>157335</v>
      </c>
    </row>
    <row r="73" spans="2:18" ht="16" customHeight="1" x14ac:dyDescent="0.35">
      <c r="B73" s="41" t="s">
        <v>148</v>
      </c>
      <c r="C73" s="41"/>
      <c r="D73" s="41"/>
      <c r="E73" s="34">
        <f ca="1">-Budget!$R$82</f>
        <v>-295866164.1955111</v>
      </c>
      <c r="F73" s="554">
        <f ca="1">+'S&amp;U'!$Q$20*'Loan Sizing'!E73/'Loan Sizing'!$E$76+G73</f>
        <v>53069499.760838449</v>
      </c>
      <c r="G73" s="34">
        <v>0</v>
      </c>
      <c r="H73" s="42">
        <f ca="1">+Budget!$G$16</f>
        <v>1218102.111111111</v>
      </c>
    </row>
    <row r="74" spans="2:18" ht="16" customHeight="1" x14ac:dyDescent="0.35">
      <c r="B74" s="41" t="s">
        <v>238</v>
      </c>
      <c r="C74" s="41"/>
      <c r="D74" s="41"/>
      <c r="E74" s="34">
        <f ca="1">-Budget!$S$82</f>
        <v>-42783010.890205331</v>
      </c>
      <c r="F74" s="554">
        <f ca="1">+'S&amp;U'!$Q$20*'Loan Sizing'!E74/'Loan Sizing'!$E$76+G74</f>
        <v>7673986.6229020739</v>
      </c>
      <c r="G74" s="34">
        <v>0</v>
      </c>
      <c r="H74" s="42">
        <f ca="1">+Budget!$G$17</f>
        <v>234630</v>
      </c>
    </row>
    <row r="75" spans="2:18" ht="16" customHeight="1" x14ac:dyDescent="0.35">
      <c r="B75" s="41" t="s">
        <v>224</v>
      </c>
      <c r="C75" s="41"/>
      <c r="D75" s="41"/>
      <c r="E75" s="34">
        <f ca="1">-Budget!$T$82-Budget!$U$82</f>
        <v>-30972641.366167903</v>
      </c>
      <c r="F75" s="554">
        <f ca="1">+'S&amp;U'!$Q$20*'Loan Sizing'!E75/'Loan Sizing'!$E$76+G75</f>
        <v>5555561.2046540361</v>
      </c>
      <c r="G75" s="34">
        <v>0</v>
      </c>
      <c r="H75" s="42">
        <f ca="1">+Budget!$G$18+Budget!$G$19</f>
        <v>387000</v>
      </c>
    </row>
    <row r="76" spans="2:18" ht="16" customHeight="1" x14ac:dyDescent="0.35">
      <c r="B76" s="119" t="s">
        <v>17</v>
      </c>
      <c r="C76" s="41"/>
      <c r="D76" s="41"/>
      <c r="E76" s="34">
        <f ca="1">+SUM(E68:E75)</f>
        <v>-1014935412.2355202</v>
      </c>
      <c r="F76" s="34">
        <f ca="1">+SUM(F68:F75)</f>
        <v>228553380.17860329</v>
      </c>
      <c r="G76" s="34">
        <f ca="1">+SUM(G68:G75)</f>
        <v>46504463.691800088</v>
      </c>
      <c r="H76" s="41"/>
    </row>
    <row r="77" spans="2:18" ht="16" customHeight="1" x14ac:dyDescent="0.35">
      <c r="B77" s="41"/>
      <c r="C77" s="41"/>
      <c r="D77" s="41"/>
      <c r="E77" s="34"/>
      <c r="F77" s="554"/>
      <c r="G77" s="41"/>
      <c r="H77" s="41"/>
    </row>
    <row r="78" spans="2:18" ht="16" customHeight="1" x14ac:dyDescent="0.35">
      <c r="B78" s="119"/>
      <c r="C78" s="41"/>
      <c r="D78" s="41"/>
      <c r="E78" s="555" t="s">
        <v>258</v>
      </c>
      <c r="F78" s="555" t="s">
        <v>747</v>
      </c>
      <c r="G78" s="555" t="s">
        <v>663</v>
      </c>
      <c r="H78" s="41"/>
    </row>
    <row r="79" spans="2:18" ht="16" customHeight="1" x14ac:dyDescent="0.35">
      <c r="B79" s="41" t="str">
        <f t="shared" ref="B79:B86" si="8">+B68</f>
        <v>Affordable Residential</v>
      </c>
      <c r="C79" s="41"/>
      <c r="D79" s="41"/>
      <c r="E79" s="116">
        <f ca="1">-$E$15/E68</f>
        <v>1.2701173705896334E-2</v>
      </c>
      <c r="F79" s="116">
        <f ca="1">-$E$15/SUM(E68:F68)</f>
        <v>3.2952975186214976E-2</v>
      </c>
      <c r="G79" s="116">
        <f>+Assumptions!M128</f>
        <v>5.7500000000000002E-2</v>
      </c>
      <c r="H79" s="116"/>
    </row>
    <row r="80" spans="2:18" ht="16" customHeight="1" x14ac:dyDescent="0.35">
      <c r="B80" s="41" t="str">
        <f t="shared" si="8"/>
        <v>Market Rate Residential</v>
      </c>
      <c r="C80" s="41"/>
      <c r="D80" s="41"/>
      <c r="E80" s="116">
        <f ca="1">-$E$16/E69</f>
        <v>5.9806949366959253E-2</v>
      </c>
      <c r="F80" s="116">
        <f ca="1">-$E$16/SUM(E69:F69)</f>
        <v>7.3768361550046971E-2</v>
      </c>
      <c r="G80" s="116">
        <f>+Assumptions!M129</f>
        <v>5.5E-2</v>
      </c>
      <c r="H80" s="116"/>
    </row>
    <row r="81" spans="2:18" ht="16" customHeight="1" x14ac:dyDescent="0.35">
      <c r="B81" s="41" t="str">
        <f t="shared" si="8"/>
        <v>Retail</v>
      </c>
      <c r="C81" s="41"/>
      <c r="D81" s="41"/>
      <c r="E81" s="116">
        <f ca="1">-$E$17/E70</f>
        <v>7.3526151761369049E-2</v>
      </c>
      <c r="F81" s="116">
        <f ca="1">-$E$17/SUM(E70:F70)</f>
        <v>8.9597196651548028E-2</v>
      </c>
      <c r="G81" s="116">
        <f>+Assumptions!M130</f>
        <v>6.5000000000000002E-2</v>
      </c>
      <c r="H81" s="116"/>
    </row>
    <row r="82" spans="2:18" ht="16" customHeight="1" x14ac:dyDescent="0.35">
      <c r="B82" s="41" t="str">
        <f t="shared" si="8"/>
        <v>Hotel</v>
      </c>
      <c r="C82" s="41"/>
      <c r="D82" s="41"/>
      <c r="E82" s="116">
        <f ca="1">-$E$36/E71</f>
        <v>0.10173573533823606</v>
      </c>
      <c r="F82" s="116">
        <f ca="1">-$E$36/SUM(E71:F71)</f>
        <v>0.12397271538395627</v>
      </c>
      <c r="G82" s="116">
        <f>+Assumptions!M131</f>
        <v>0.08</v>
      </c>
      <c r="H82" s="116"/>
    </row>
    <row r="83" spans="2:18" ht="16" customHeight="1" x14ac:dyDescent="0.35">
      <c r="B83" s="41" t="str">
        <f t="shared" si="8"/>
        <v>Community Facility</v>
      </c>
      <c r="C83" s="41"/>
      <c r="D83" s="41"/>
      <c r="E83" s="116">
        <f ca="1">-$E$18/E72</f>
        <v>2.5644474311845852E-2</v>
      </c>
      <c r="F83" s="116">
        <f ca="1">-$E$18/SUM(E72:F72)</f>
        <v>4.9944804986258126E-2</v>
      </c>
      <c r="G83" s="116">
        <f>+Assumptions!M132</f>
        <v>6.7500000000000004E-2</v>
      </c>
      <c r="H83" s="116"/>
    </row>
    <row r="84" spans="2:18" ht="16" customHeight="1" x14ac:dyDescent="0.35">
      <c r="B84" s="41" t="str">
        <f t="shared" si="8"/>
        <v>Office</v>
      </c>
      <c r="C84" s="41"/>
      <c r="D84" s="41"/>
      <c r="E84" s="116">
        <f ca="1">-$E$19/E73</f>
        <v>8.0522430195818354E-2</v>
      </c>
      <c r="F84" s="116">
        <f ca="1">-$E$19/SUM(E73:F73)</f>
        <v>9.8122692950535439E-2</v>
      </c>
      <c r="G84" s="116">
        <f>+Assumptions!M133</f>
        <v>6.5000000000000002E-2</v>
      </c>
      <c r="H84" s="116"/>
    </row>
    <row r="85" spans="2:18" ht="16" customHeight="1" x14ac:dyDescent="0.35">
      <c r="B85" s="41" t="str">
        <f t="shared" si="8"/>
        <v>Industrial</v>
      </c>
      <c r="C85" s="41"/>
      <c r="D85" s="41"/>
      <c r="E85" s="116">
        <f ca="1">-$E$52/E74</f>
        <v>6.6961007915969317E-2</v>
      </c>
      <c r="F85" s="116">
        <f ca="1">-$E$52/SUM(E74:F74)</f>
        <v>8.1597070572992217E-2</v>
      </c>
      <c r="G85" s="116">
        <f>+Assumptions!M134</f>
        <v>5.5E-2</v>
      </c>
      <c r="H85" s="116"/>
    </row>
    <row r="86" spans="2:18" ht="16" customHeight="1" x14ac:dyDescent="0.35">
      <c r="B86" s="41" t="str">
        <f t="shared" si="8"/>
        <v>Parking</v>
      </c>
      <c r="C86" s="41"/>
      <c r="D86" s="41"/>
      <c r="E86" s="116">
        <f ca="1">-$E$20/E75</f>
        <v>3.0715633367606954E-2</v>
      </c>
      <c r="F86" s="116">
        <f ca="1">-$E$20/SUM(E75:F75)</f>
        <v>3.7429330614855622E-2</v>
      </c>
      <c r="G86" s="116">
        <f>+Assumptions!M135</f>
        <v>6.5000000000000002E-2</v>
      </c>
      <c r="H86" s="116"/>
    </row>
    <row r="87" spans="2:18" ht="16" customHeight="1" x14ac:dyDescent="0.35">
      <c r="B87" s="119"/>
      <c r="C87" s="41"/>
      <c r="D87" s="41"/>
      <c r="E87" s="34"/>
      <c r="F87" s="34"/>
      <c r="G87" s="34"/>
      <c r="H87" s="41"/>
    </row>
    <row r="88" spans="2:18" ht="16" customHeight="1" x14ac:dyDescent="0.35">
      <c r="B88" s="119"/>
      <c r="C88" s="41"/>
      <c r="D88" s="41"/>
      <c r="E88" s="555" t="s">
        <v>748</v>
      </c>
    </row>
    <row r="89" spans="2:18" ht="16" customHeight="1" x14ac:dyDescent="0.35">
      <c r="B89" s="41" t="s">
        <v>399</v>
      </c>
      <c r="C89" s="41"/>
      <c r="D89" s="41"/>
      <c r="E89" s="116">
        <f ca="1">+'Cash Flow Roll-up'!$C$58</f>
        <v>0.13026177012390683</v>
      </c>
    </row>
    <row r="90" spans="2:18" ht="16" customHeight="1" x14ac:dyDescent="0.35">
      <c r="B90" s="41" t="s">
        <v>749</v>
      </c>
      <c r="C90" s="41"/>
      <c r="D90" s="41"/>
      <c r="E90" s="116">
        <f ca="1">+'Cash Flow Roll-up'!$D$58</f>
        <v>0.22324328826435935</v>
      </c>
    </row>
    <row r="91" spans="2:18" ht="16" customHeight="1" x14ac:dyDescent="0.35">
      <c r="B91" s="41" t="s">
        <v>750</v>
      </c>
      <c r="C91" s="41"/>
      <c r="D91" s="41"/>
      <c r="E91" s="116">
        <f ca="1">+'Cash Flow Roll-up'!$E$58</f>
        <v>0.30439856080056854</v>
      </c>
    </row>
    <row r="96" spans="2:18" ht="16" customHeight="1" thickBot="1" x14ac:dyDescent="0.45">
      <c r="B96" s="119" t="s">
        <v>21</v>
      </c>
      <c r="C96" s="41"/>
      <c r="D96" s="41"/>
      <c r="E96" s="555" t="s">
        <v>661</v>
      </c>
      <c r="F96" s="555" t="s">
        <v>662</v>
      </c>
      <c r="G96" s="555" t="s">
        <v>177</v>
      </c>
      <c r="H96" s="555" t="s">
        <v>230</v>
      </c>
      <c r="J96" s="828" t="s">
        <v>21</v>
      </c>
      <c r="K96" s="828"/>
      <c r="L96" s="828"/>
      <c r="M96" s="828"/>
      <c r="N96" s="828"/>
      <c r="O96" s="828"/>
      <c r="P96" s="828"/>
      <c r="Q96" s="828"/>
      <c r="R96" s="828"/>
    </row>
    <row r="97" spans="1:8" ht="16" customHeight="1" x14ac:dyDescent="0.35">
      <c r="A97" s="208">
        <v>0</v>
      </c>
      <c r="B97" s="41" t="s">
        <v>143</v>
      </c>
      <c r="C97" s="41"/>
      <c r="D97" s="41"/>
      <c r="E97" s="34">
        <f ca="1">-OFFSET(Budget!$Y$82,0,'Loan Sizing'!A97)</f>
        <v>-28475043.81842339</v>
      </c>
      <c r="F97" s="34">
        <f ca="1">+'S&amp;U'!$R$20*'Loan Sizing'!E97/'Loan Sizing'!$E$105+G97</f>
        <v>18000854.080178741</v>
      </c>
      <c r="G97" s="34">
        <f>+'S&amp;U'!$H$20</f>
        <v>12714766.389964083</v>
      </c>
      <c r="H97" s="42">
        <f ca="1">+Budget!$H$11</f>
        <v>125993.56</v>
      </c>
    </row>
    <row r="98" spans="1:8" ht="16" customHeight="1" x14ac:dyDescent="0.35">
      <c r="A98" s="208">
        <f>+A97+1</f>
        <v>1</v>
      </c>
      <c r="B98" s="41" t="s">
        <v>144</v>
      </c>
      <c r="C98" s="41"/>
      <c r="D98" s="41"/>
      <c r="E98" s="34">
        <f ca="1">-OFFSET(Budget!$Y$82,0,'Loan Sizing'!A98)</f>
        <v>-126384695.23680249</v>
      </c>
      <c r="F98" s="34">
        <f ca="1">+'S&amp;U'!$R$20*'Loan Sizing'!E98/'Loan Sizing'!$E$105+G98</f>
        <v>26718299.289209377</v>
      </c>
      <c r="G98" s="34">
        <f ca="1">+'S&amp;U'!$H$22</f>
        <v>3256330.7674772362</v>
      </c>
      <c r="H98" s="42">
        <f ca="1">+Budget!$H$12</f>
        <v>503974.24</v>
      </c>
    </row>
    <row r="99" spans="1:8" ht="16" customHeight="1" x14ac:dyDescent="0.35">
      <c r="A99" s="208">
        <f t="shared" ref="A99:A104" si="9">+A98+1</f>
        <v>2</v>
      </c>
      <c r="B99" s="41" t="s">
        <v>25</v>
      </c>
      <c r="C99" s="41"/>
      <c r="D99" s="41"/>
      <c r="E99" s="34">
        <f ca="1">-OFFSET(Budget!$Y$82,0,'Loan Sizing'!A99)</f>
        <v>-57176038.672037721</v>
      </c>
      <c r="F99" s="34">
        <f ca="1">+'S&amp;U'!$R$20*'Loan Sizing'!E99/'Loan Sizing'!$E$105+G99</f>
        <v>10614120.776311073</v>
      </c>
      <c r="G99" s="34">
        <v>0</v>
      </c>
      <c r="H99" s="42">
        <f ca="1">+Budget!$H$13</f>
        <v>244375</v>
      </c>
    </row>
    <row r="100" spans="1:8" ht="16" customHeight="1" x14ac:dyDescent="0.35">
      <c r="A100" s="208">
        <f t="shared" si="9"/>
        <v>3</v>
      </c>
      <c r="B100" s="41" t="s">
        <v>26</v>
      </c>
      <c r="C100" s="41"/>
      <c r="D100" s="41"/>
      <c r="E100" s="34">
        <f ca="1">-OFFSET(Budget!$Y$82,0,'Loan Sizing'!A100)</f>
        <v>-54723415.62777853</v>
      </c>
      <c r="F100" s="34">
        <f ca="1">+'S&amp;U'!$R$20*'Loan Sizing'!E100/'Loan Sizing'!$E$105+G100</f>
        <v>10158817.509153076</v>
      </c>
      <c r="G100" s="34">
        <v>0</v>
      </c>
      <c r="H100" s="42">
        <f ca="1">+Budget!$H$14</f>
        <v>208084.2</v>
      </c>
    </row>
    <row r="101" spans="1:8" ht="16" customHeight="1" x14ac:dyDescent="0.35">
      <c r="A101" s="208">
        <f t="shared" si="9"/>
        <v>4</v>
      </c>
      <c r="B101" s="41" t="s">
        <v>147</v>
      </c>
      <c r="C101" s="41"/>
      <c r="D101" s="41"/>
      <c r="E101" s="34">
        <f ca="1">-OFFSET(Budget!$Y$82,0,'Loan Sizing'!A101)</f>
        <v>-17335013.49341679</v>
      </c>
      <c r="F101" s="34">
        <f ca="1">+'S&amp;U'!$R$20*'Loan Sizing'!E101/'Loan Sizing'!$E$105+G101</f>
        <v>8756060.0676711835</v>
      </c>
      <c r="G101" s="34">
        <f>+'S&amp;U'!$H$21</f>
        <v>5538000</v>
      </c>
      <c r="H101" s="42">
        <f ca="1">+Budget!$H$15</f>
        <v>79125</v>
      </c>
    </row>
    <row r="102" spans="1:8" ht="16" customHeight="1" x14ac:dyDescent="0.35">
      <c r="A102" s="208">
        <f t="shared" si="9"/>
        <v>5</v>
      </c>
      <c r="B102" s="41" t="s">
        <v>148</v>
      </c>
      <c r="C102" s="41"/>
      <c r="D102" s="41"/>
      <c r="E102" s="34">
        <f ca="1">-OFFSET(Budget!$Y$82,0,'Loan Sizing'!A102)</f>
        <v>-107381834.21374291</v>
      </c>
      <c r="F102" s="34">
        <f ca="1">+'S&amp;U'!$R$20*'Loan Sizing'!E102/'Loan Sizing'!$E$105+G102</f>
        <v>19934290.377550904</v>
      </c>
      <c r="G102" s="34">
        <v>0</v>
      </c>
      <c r="H102" s="42">
        <f ca="1">+Budget!$H$16</f>
        <v>455632</v>
      </c>
    </row>
    <row r="103" spans="1:8" ht="16" customHeight="1" x14ac:dyDescent="0.35">
      <c r="A103" s="208">
        <f t="shared" si="9"/>
        <v>6</v>
      </c>
      <c r="B103" s="41" t="s">
        <v>238</v>
      </c>
      <c r="C103" s="41"/>
      <c r="D103" s="41"/>
      <c r="E103" s="34">
        <f ca="1">-OFFSET(Budget!$Y$82,0,'Loan Sizing'!A103)</f>
        <v>-1.4005724289356137E-5</v>
      </c>
      <c r="F103" s="34">
        <f ca="1">+'S&amp;U'!$R$20*'Loan Sizing'!E103/'Loan Sizing'!$E$105+G103</f>
        <v>2.600013093240787E-6</v>
      </c>
      <c r="G103" s="34">
        <v>0</v>
      </c>
      <c r="H103" s="42">
        <f ca="1">+Budget!$H$17</f>
        <v>0</v>
      </c>
    </row>
    <row r="104" spans="1:8" ht="16" customHeight="1" x14ac:dyDescent="0.35">
      <c r="A104" s="208">
        <f t="shared" si="9"/>
        <v>7</v>
      </c>
      <c r="B104" s="41" t="s">
        <v>224</v>
      </c>
      <c r="C104" s="41"/>
      <c r="D104" s="41"/>
      <c r="E104" s="34">
        <f ca="1">-Budget!$AF$82-Budget!$AG$82</f>
        <v>-8168651.0296162795</v>
      </c>
      <c r="F104" s="34">
        <f ca="1">+'S&amp;U'!$R$20*'Loan Sizing'!E104/'Loan Sizing'!$E$105+G104</f>
        <v>1516422.7991591804</v>
      </c>
      <c r="G104" s="34">
        <v>0</v>
      </c>
      <c r="H104" s="42">
        <f ca="1">+Budget!$H$18+Budget!$H$19</f>
        <v>83000</v>
      </c>
    </row>
    <row r="105" spans="1:8" ht="16" customHeight="1" x14ac:dyDescent="0.35">
      <c r="B105" s="119" t="s">
        <v>17</v>
      </c>
      <c r="C105" s="41"/>
      <c r="D105" s="41"/>
      <c r="E105" s="34">
        <f ca="1">+SUM(E97:E104)</f>
        <v>-399644692.09183216</v>
      </c>
      <c r="F105" s="34">
        <f ca="1">+SUM(F97:F104)</f>
        <v>95698864.899236128</v>
      </c>
      <c r="G105" s="34">
        <f ca="1">+SUM(G97:G104)</f>
        <v>21509097.157441318</v>
      </c>
      <c r="H105" s="41"/>
    </row>
    <row r="106" spans="1:8" ht="16" customHeight="1" x14ac:dyDescent="0.35">
      <c r="B106" s="41"/>
      <c r="C106" s="41"/>
      <c r="D106" s="41"/>
      <c r="E106" s="34"/>
      <c r="F106" s="554"/>
      <c r="G106" s="41"/>
      <c r="H106" s="41"/>
    </row>
    <row r="107" spans="1:8" ht="16" customHeight="1" x14ac:dyDescent="0.35">
      <c r="B107" s="119"/>
      <c r="C107" s="41"/>
      <c r="D107" s="41"/>
      <c r="E107" s="555" t="s">
        <v>258</v>
      </c>
      <c r="F107" s="555" t="s">
        <v>747</v>
      </c>
      <c r="G107" s="555" t="s">
        <v>663</v>
      </c>
      <c r="H107" s="41"/>
    </row>
    <row r="108" spans="1:8" ht="16" customHeight="1" x14ac:dyDescent="0.35">
      <c r="B108" s="41" t="str">
        <f t="shared" ref="B108:B115" si="10">+B97</f>
        <v>Affordable Residential</v>
      </c>
      <c r="C108" s="41"/>
      <c r="D108" s="41"/>
      <c r="E108" s="116">
        <f ca="1">-$F$15/E97</f>
        <v>1.4876784006976538E-2</v>
      </c>
      <c r="F108" s="116">
        <f ca="1">-$F$15/SUM(E97:F97)</f>
        <v>4.0443899438742686E-2</v>
      </c>
      <c r="G108" s="116">
        <f>+$G$79</f>
        <v>5.7500000000000002E-2</v>
      </c>
      <c r="H108" s="116"/>
    </row>
    <row r="109" spans="1:8" ht="16" customHeight="1" x14ac:dyDescent="0.35">
      <c r="B109" s="41" t="str">
        <f t="shared" si="10"/>
        <v>Market Rate Residential</v>
      </c>
      <c r="C109" s="41"/>
      <c r="D109" s="41"/>
      <c r="E109" s="116">
        <f ca="1">-$F$16/E98</f>
        <v>5.8660276516257714E-2</v>
      </c>
      <c r="F109" s="116">
        <f ca="1">-$F$16/SUM(E98:F98)</f>
        <v>7.4385765628689135E-2</v>
      </c>
      <c r="G109" s="116">
        <f>+$G$80</f>
        <v>5.5E-2</v>
      </c>
      <c r="H109" s="116"/>
    </row>
    <row r="110" spans="1:8" ht="16" customHeight="1" x14ac:dyDescent="0.35">
      <c r="B110" s="41" t="str">
        <f t="shared" si="10"/>
        <v>Retail</v>
      </c>
      <c r="C110" s="41"/>
      <c r="D110" s="41"/>
      <c r="E110" s="116">
        <f ca="1">-$F$17/E99</f>
        <v>7.0003250371624012E-2</v>
      </c>
      <c r="F110" s="116">
        <f ca="1">-$F$17/SUM(E99:F99)</f>
        <v>8.5960989823910469E-2</v>
      </c>
      <c r="G110" s="116">
        <f>+$G$81</f>
        <v>6.5000000000000002E-2</v>
      </c>
      <c r="H110" s="116"/>
    </row>
    <row r="111" spans="1:8" ht="16" customHeight="1" x14ac:dyDescent="0.35">
      <c r="B111" s="41" t="str">
        <f t="shared" si="10"/>
        <v>Hotel</v>
      </c>
      <c r="C111" s="41"/>
      <c r="D111" s="41"/>
      <c r="E111" s="116">
        <f ca="1">-$F$36/E100</f>
        <v>0.10056214230638552</v>
      </c>
      <c r="F111" s="116">
        <f ca="1">-$F$36/SUM(E100:F100)</f>
        <v>0.1234859988011911</v>
      </c>
      <c r="G111" s="116">
        <f>+$G$82</f>
        <v>0.08</v>
      </c>
      <c r="H111" s="116"/>
    </row>
    <row r="112" spans="1:8" ht="16" customHeight="1" x14ac:dyDescent="0.35">
      <c r="B112" s="41" t="str">
        <f t="shared" si="10"/>
        <v>Community Facility</v>
      </c>
      <c r="C112" s="41"/>
      <c r="D112" s="41"/>
      <c r="E112" s="116">
        <f ca="1">-$F$18/E101</f>
        <v>1.0480955210620304E-2</v>
      </c>
      <c r="F112" s="116">
        <f ca="1">-$F$18/SUM(E101:F101)</f>
        <v>2.1178282592693914E-2</v>
      </c>
      <c r="G112" s="116">
        <f>+$G$83</f>
        <v>6.7500000000000004E-2</v>
      </c>
      <c r="H112" s="116"/>
    </row>
    <row r="113" spans="1:18" ht="16" customHeight="1" x14ac:dyDescent="0.35">
      <c r="B113" s="41" t="str">
        <f t="shared" si="10"/>
        <v>Office</v>
      </c>
      <c r="C113" s="41"/>
      <c r="D113" s="41"/>
      <c r="E113" s="116">
        <f ca="1">-$F$19/E102</f>
        <v>7.6394814725446847E-2</v>
      </c>
      <c r="F113" s="116">
        <f ca="1">-$F$19/SUM(E102:F102)</f>
        <v>9.3809556789888726E-2</v>
      </c>
      <c r="G113" s="116">
        <f>+$G$84</f>
        <v>6.5000000000000002E-2</v>
      </c>
      <c r="H113" s="116"/>
    </row>
    <row r="114" spans="1:18" ht="16" customHeight="1" x14ac:dyDescent="0.35">
      <c r="B114" s="41" t="str">
        <f t="shared" si="10"/>
        <v>Industrial</v>
      </c>
      <c r="C114" s="41"/>
      <c r="D114" s="41"/>
      <c r="E114" s="116">
        <v>0</v>
      </c>
      <c r="F114" s="116">
        <v>0</v>
      </c>
      <c r="G114" s="116">
        <v>0</v>
      </c>
      <c r="H114" s="116"/>
    </row>
    <row r="115" spans="1:18" ht="16" customHeight="1" x14ac:dyDescent="0.35">
      <c r="B115" s="41" t="str">
        <f t="shared" si="10"/>
        <v>Parking</v>
      </c>
      <c r="C115" s="41"/>
      <c r="D115" s="41"/>
      <c r="E115" s="116">
        <f ca="1">-$F$20/E104</f>
        <v>2.3275540313214257E-2</v>
      </c>
      <c r="F115" s="116">
        <f ca="1">-$F$20/SUM(E104:F104)</f>
        <v>2.8581365485012583E-2</v>
      </c>
      <c r="G115" s="116">
        <f>+$G$86</f>
        <v>6.5000000000000002E-2</v>
      </c>
      <c r="H115" s="116"/>
    </row>
    <row r="116" spans="1:18" ht="16" customHeight="1" x14ac:dyDescent="0.35">
      <c r="B116" s="119"/>
      <c r="C116" s="41"/>
      <c r="D116" s="41"/>
      <c r="E116" s="34"/>
      <c r="F116" s="34"/>
      <c r="G116" s="34"/>
      <c r="H116" s="41"/>
    </row>
    <row r="117" spans="1:18" ht="16" customHeight="1" x14ac:dyDescent="0.35">
      <c r="B117" s="119"/>
      <c r="C117" s="41"/>
      <c r="D117" s="41"/>
      <c r="E117" s="555" t="s">
        <v>748</v>
      </c>
    </row>
    <row r="118" spans="1:18" ht="16" customHeight="1" x14ac:dyDescent="0.35">
      <c r="B118" s="41" t="s">
        <v>399</v>
      </c>
      <c r="C118" s="41"/>
      <c r="D118" s="41"/>
      <c r="E118" s="116">
        <f ca="1">+'Cash Flow Roll-up'!C55</f>
        <v>0.11972944419183973</v>
      </c>
    </row>
    <row r="119" spans="1:18" ht="16" customHeight="1" x14ac:dyDescent="0.35">
      <c r="B119" s="41" t="s">
        <v>749</v>
      </c>
      <c r="C119" s="41"/>
      <c r="D119" s="41"/>
      <c r="E119" s="116">
        <f ca="1">+'Cash Flow Roll-up'!D55</f>
        <v>0.20216207550226173</v>
      </c>
    </row>
    <row r="120" spans="1:18" ht="16" customHeight="1" x14ac:dyDescent="0.35">
      <c r="B120" s="41" t="s">
        <v>750</v>
      </c>
      <c r="C120" s="41"/>
      <c r="D120" s="41"/>
      <c r="E120" s="116">
        <f ca="1">+'Cash Flow Roll-up'!E55</f>
        <v>0.29690186695228693</v>
      </c>
    </row>
    <row r="125" spans="1:18" ht="16" customHeight="1" thickBot="1" x14ac:dyDescent="0.45">
      <c r="B125" s="119" t="s">
        <v>381</v>
      </c>
      <c r="C125" s="41"/>
      <c r="D125" s="41"/>
      <c r="E125" s="555" t="s">
        <v>661</v>
      </c>
      <c r="F125" s="555" t="s">
        <v>662</v>
      </c>
      <c r="G125" s="555" t="s">
        <v>177</v>
      </c>
      <c r="H125" s="555" t="s">
        <v>230</v>
      </c>
      <c r="J125" s="828" t="s">
        <v>381</v>
      </c>
      <c r="K125" s="828"/>
      <c r="L125" s="828"/>
      <c r="M125" s="828"/>
      <c r="N125" s="828"/>
      <c r="O125" s="828"/>
      <c r="P125" s="828"/>
      <c r="Q125" s="828"/>
      <c r="R125" s="828"/>
    </row>
    <row r="126" spans="1:18" ht="16" customHeight="1" x14ac:dyDescent="0.35">
      <c r="A126" s="208">
        <v>0</v>
      </c>
      <c r="B126" s="41" t="s">
        <v>143</v>
      </c>
      <c r="C126" s="41"/>
      <c r="D126" s="41"/>
      <c r="E126" s="34">
        <f ca="1">-OFFSET(Budget!$AJ$82,0,'Loan Sizing'!A126)</f>
        <v>-19873249.911287881</v>
      </c>
      <c r="F126" s="554">
        <f ca="1">+'S&amp;U'!$S$20*'Loan Sizing'!E126/'Loan Sizing'!$E$134+G126</f>
        <v>12738540.323950753</v>
      </c>
      <c r="G126" s="34">
        <f>+'S&amp;U'!$I$20</f>
        <v>8832339.7304545473</v>
      </c>
      <c r="H126" s="42">
        <f ca="1">+Budget!$I$11</f>
        <v>90127</v>
      </c>
    </row>
    <row r="127" spans="1:18" ht="16" customHeight="1" x14ac:dyDescent="0.35">
      <c r="A127" s="208">
        <f>+A126+1</f>
        <v>1</v>
      </c>
      <c r="B127" s="41" t="s">
        <v>144</v>
      </c>
      <c r="C127" s="41"/>
      <c r="D127" s="41"/>
      <c r="E127" s="34">
        <f ca="1">-OFFSET(Budget!$AJ$82,0,'Loan Sizing'!A127)</f>
        <v>-88915177.99947226</v>
      </c>
      <c r="F127" s="34">
        <f ca="1">+'S&amp;U'!$S$20*'Loan Sizing'!E127/'Loan Sizing'!$E$134+G127</f>
        <v>17476785.257708821</v>
      </c>
      <c r="G127" s="34">
        <f>+'S&amp;U'!$I$22</f>
        <v>0</v>
      </c>
      <c r="H127" s="42">
        <f ca="1">+Budget!$I$12</f>
        <v>360508</v>
      </c>
    </row>
    <row r="128" spans="1:18" ht="16" customHeight="1" x14ac:dyDescent="0.35">
      <c r="A128" s="208">
        <f t="shared" ref="A128:A133" si="11">+A127+1</f>
        <v>2</v>
      </c>
      <c r="B128" s="41" t="s">
        <v>25</v>
      </c>
      <c r="C128" s="41"/>
      <c r="D128" s="41"/>
      <c r="E128" s="34">
        <f ca="1">-OFFSET(Budget!$AJ$82,0,'Loan Sizing'!A128)</f>
        <v>-35527515.081917137</v>
      </c>
      <c r="F128" s="34">
        <f ca="1">+'S&amp;U'!$S$20*'Loan Sizing'!E128/'Loan Sizing'!$E$134+G128</f>
        <v>6983135.6782568945</v>
      </c>
      <c r="G128" s="34">
        <v>0</v>
      </c>
      <c r="H128" s="42">
        <f ca="1">+Budget!$I$13</f>
        <v>154000</v>
      </c>
    </row>
    <row r="129" spans="1:8" ht="16" customHeight="1" x14ac:dyDescent="0.35">
      <c r="A129" s="208">
        <f t="shared" si="11"/>
        <v>3</v>
      </c>
      <c r="B129" s="41" t="s">
        <v>26</v>
      </c>
      <c r="C129" s="41"/>
      <c r="D129" s="41"/>
      <c r="E129" s="34">
        <f ca="1">-OFFSET(Budget!$AJ$82,0,'Loan Sizing'!A129)</f>
        <v>-33290588.70297496</v>
      </c>
      <c r="F129" s="34">
        <f ca="1">+'S&amp;U'!$S$20*'Loan Sizing'!E129/'Loan Sizing'!$E$134+G129</f>
        <v>6543455.0428280523</v>
      </c>
      <c r="G129" s="34">
        <v>0</v>
      </c>
      <c r="H129" s="42">
        <f ca="1">+Budget!$I$14</f>
        <v>128434</v>
      </c>
    </row>
    <row r="130" spans="1:8" ht="16" customHeight="1" x14ac:dyDescent="0.35">
      <c r="A130" s="208">
        <f t="shared" si="11"/>
        <v>4</v>
      </c>
      <c r="B130" s="41" t="s">
        <v>147</v>
      </c>
      <c r="C130" s="41"/>
      <c r="D130" s="41"/>
      <c r="E130" s="34">
        <f ca="1">-OFFSET(Budget!$AJ$82,0,'Loan Sizing'!A130)</f>
        <v>0</v>
      </c>
      <c r="F130" s="34">
        <f ca="1">+'S&amp;U'!$S$20*'Loan Sizing'!E130/'Loan Sizing'!$E$134+G130</f>
        <v>6.2400000000000012E-5</v>
      </c>
      <c r="G130" s="34">
        <f>+'S&amp;U'!$I$21</f>
        <v>6.2400000000000012E-5</v>
      </c>
      <c r="H130" s="42">
        <f ca="1">+Budget!$I$15</f>
        <v>0</v>
      </c>
    </row>
    <row r="131" spans="1:8" ht="16" customHeight="1" x14ac:dyDescent="0.35">
      <c r="A131" s="208">
        <f t="shared" si="11"/>
        <v>5</v>
      </c>
      <c r="B131" s="41" t="s">
        <v>148</v>
      </c>
      <c r="C131" s="41"/>
      <c r="D131" s="41"/>
      <c r="E131" s="34">
        <f ca="1">-OFFSET(Budget!$AJ$82,0,'Loan Sizing'!A131)</f>
        <v>-34706428.519706115</v>
      </c>
      <c r="F131" s="34">
        <f ca="1">+'S&amp;U'!$S$20*'Loan Sizing'!E131/'Loan Sizing'!$E$134+G131</f>
        <v>6821746.4323641676</v>
      </c>
      <c r="G131" s="34">
        <v>0</v>
      </c>
      <c r="H131" s="42">
        <f ca="1">+Budget!$I$16</f>
        <v>149930</v>
      </c>
    </row>
    <row r="132" spans="1:8" ht="16" customHeight="1" x14ac:dyDescent="0.35">
      <c r="A132" s="208">
        <f t="shared" si="11"/>
        <v>6</v>
      </c>
      <c r="B132" s="41" t="s">
        <v>238</v>
      </c>
      <c r="C132" s="41"/>
      <c r="D132" s="41"/>
      <c r="E132" s="34">
        <f ca="1">-OFFSET(Budget!$AJ$82,0,'Loan Sizing'!A132)</f>
        <v>-1.4329080152423967E-5</v>
      </c>
      <c r="F132" s="34">
        <f ca="1">+'S&amp;U'!$S$20*'Loan Sizing'!E132/'Loan Sizing'!$E$134+G132</f>
        <v>2.8164624128166017E-6</v>
      </c>
      <c r="G132" s="34">
        <v>0</v>
      </c>
      <c r="H132" s="42">
        <f ca="1">+Budget!$I$17</f>
        <v>0</v>
      </c>
    </row>
    <row r="133" spans="1:8" ht="16" customHeight="1" x14ac:dyDescent="0.35">
      <c r="A133" s="208">
        <f t="shared" si="11"/>
        <v>7</v>
      </c>
      <c r="B133" s="41" t="s">
        <v>224</v>
      </c>
      <c r="C133" s="41"/>
      <c r="D133" s="41"/>
      <c r="E133" s="34">
        <f ca="1">-Budget!AQ82-Budget!AR82</f>
        <v>-9430350.4416636173</v>
      </c>
      <c r="F133" s="34">
        <f ca="1">+'S&amp;U'!$S$20*'Loan Sizing'!E133/'Loan Sizing'!$E$134+G133</f>
        <v>1853589.1540910236</v>
      </c>
      <c r="G133" s="34">
        <v>0</v>
      </c>
      <c r="H133" s="42">
        <f ca="1">+Budget!$I$18+Budget!$I$19</f>
        <v>106000</v>
      </c>
    </row>
    <row r="134" spans="1:8" ht="16" customHeight="1" x14ac:dyDescent="0.35">
      <c r="B134" s="119" t="s">
        <v>17</v>
      </c>
      <c r="C134" s="41"/>
      <c r="D134" s="41"/>
      <c r="E134" s="34">
        <f ca="1">+SUM(E126:E133)</f>
        <v>-221743310.65703633</v>
      </c>
      <c r="F134" s="34">
        <f ca="1">+SUM(F126:F133)</f>
        <v>52417251.889264926</v>
      </c>
      <c r="G134" s="34">
        <f>+SUM(G126:G133)</f>
        <v>8832339.7305169478</v>
      </c>
      <c r="H134" s="41"/>
    </row>
    <row r="135" spans="1:8" ht="16" customHeight="1" x14ac:dyDescent="0.35">
      <c r="B135" s="41"/>
      <c r="C135" s="41"/>
      <c r="D135" s="41"/>
      <c r="E135" s="34"/>
      <c r="F135" s="554"/>
      <c r="G135" s="41"/>
      <c r="H135" s="41"/>
    </row>
    <row r="136" spans="1:8" ht="16" customHeight="1" x14ac:dyDescent="0.35">
      <c r="B136" s="119"/>
      <c r="C136" s="41"/>
      <c r="D136" s="41"/>
      <c r="E136" s="555" t="s">
        <v>258</v>
      </c>
      <c r="F136" s="555" t="s">
        <v>747</v>
      </c>
      <c r="G136" s="555" t="s">
        <v>663</v>
      </c>
      <c r="H136" s="41"/>
    </row>
    <row r="137" spans="1:8" ht="16" customHeight="1" x14ac:dyDescent="0.35">
      <c r="B137" s="41" t="str">
        <f t="shared" ref="B137:B144" si="12">+B126</f>
        <v>Affordable Residential</v>
      </c>
      <c r="C137" s="41"/>
      <c r="D137" s="41"/>
      <c r="E137" s="116">
        <f ca="1">-$G$15/E126</f>
        <v>1.1296053975704073E-2</v>
      </c>
      <c r="F137" s="116">
        <f ca="1">-$G$15/SUM(E126:F126)</f>
        <v>3.1464392617885056E-2</v>
      </c>
      <c r="G137" s="116">
        <f>+$G$79</f>
        <v>5.7500000000000002E-2</v>
      </c>
      <c r="H137" s="116"/>
    </row>
    <row r="138" spans="1:8" ht="16" customHeight="1" x14ac:dyDescent="0.35">
      <c r="B138" s="41" t="str">
        <f t="shared" si="12"/>
        <v>Market Rate Residential</v>
      </c>
      <c r="C138" s="41"/>
      <c r="D138" s="41"/>
      <c r="E138" s="116">
        <f ca="1">-$G$16/E127</f>
        <v>6.0173284143471957E-2</v>
      </c>
      <c r="F138" s="116">
        <f ca="1">-$G$16/SUM(E127:F127)</f>
        <v>7.4894157960272711E-2</v>
      </c>
      <c r="G138" s="116">
        <f>+$G$80</f>
        <v>5.5E-2</v>
      </c>
      <c r="H138" s="116"/>
    </row>
    <row r="139" spans="1:8" ht="16" customHeight="1" x14ac:dyDescent="0.35">
      <c r="B139" s="41" t="str">
        <f t="shared" si="12"/>
        <v>Retail</v>
      </c>
      <c r="C139" s="41"/>
      <c r="D139" s="41"/>
      <c r="E139" s="116">
        <f ca="1">-$G$17/E128</f>
        <v>7.7898341866049089E-2</v>
      </c>
      <c r="F139" s="116">
        <f ca="1">-$G$17/SUM(E128:F128)</f>
        <v>9.6955497836029872E-2</v>
      </c>
      <c r="G139" s="116">
        <f>+$G$81</f>
        <v>6.5000000000000002E-2</v>
      </c>
      <c r="H139" s="116"/>
    </row>
    <row r="140" spans="1:8" ht="16" customHeight="1" x14ac:dyDescent="0.35">
      <c r="B140" s="41" t="str">
        <f t="shared" si="12"/>
        <v>Hotel</v>
      </c>
      <c r="C140" s="41"/>
      <c r="D140" s="41"/>
      <c r="E140" s="116">
        <f ca="1">-$G$36/E129</f>
        <v>0.10560557341038464</v>
      </c>
      <c r="F140" s="116">
        <f ca="1">-$G$36/SUM(E129:F129)</f>
        <v>0.1314410640712981</v>
      </c>
      <c r="G140" s="116">
        <f>+$G$82</f>
        <v>0.08</v>
      </c>
      <c r="H140" s="116"/>
    </row>
    <row r="141" spans="1:8" ht="16" customHeight="1" x14ac:dyDescent="0.35">
      <c r="B141" s="41" t="str">
        <f t="shared" si="12"/>
        <v>Community Facility</v>
      </c>
      <c r="C141" s="41"/>
      <c r="D141" s="41"/>
      <c r="E141" s="715">
        <v>0</v>
      </c>
      <c r="F141" s="116">
        <v>0</v>
      </c>
      <c r="G141" s="116">
        <v>0</v>
      </c>
      <c r="H141" s="116"/>
    </row>
    <row r="142" spans="1:8" ht="16" customHeight="1" x14ac:dyDescent="0.35">
      <c r="B142" s="41" t="str">
        <f t="shared" si="12"/>
        <v>Office</v>
      </c>
      <c r="C142" s="41"/>
      <c r="D142" s="41"/>
      <c r="E142" s="116">
        <f ca="1">-$G$19/E131</f>
        <v>8.0920664766031589E-2</v>
      </c>
      <c r="F142" s="116">
        <f ca="1">-$G$19/SUM(E131:F131)</f>
        <v>0.10071720590797985</v>
      </c>
      <c r="G142" s="116">
        <f>+$G$84</f>
        <v>6.5000000000000002E-2</v>
      </c>
      <c r="H142" s="116"/>
    </row>
    <row r="143" spans="1:8" ht="16" customHeight="1" x14ac:dyDescent="0.35">
      <c r="B143" s="41" t="str">
        <f t="shared" si="12"/>
        <v>Industrial</v>
      </c>
      <c r="C143" s="41"/>
      <c r="D143" s="41"/>
      <c r="E143" s="116">
        <v>0</v>
      </c>
      <c r="F143" s="116">
        <v>0</v>
      </c>
      <c r="G143" s="116">
        <v>0</v>
      </c>
      <c r="H143" s="116"/>
    </row>
    <row r="144" spans="1:8" ht="16" customHeight="1" x14ac:dyDescent="0.35">
      <c r="B144" s="41" t="str">
        <f t="shared" si="12"/>
        <v>Parking</v>
      </c>
      <c r="C144" s="41"/>
      <c r="D144" s="41"/>
      <c r="E144" s="116">
        <f ca="1">-$F$20/E133</f>
        <v>2.016147411706069E-2</v>
      </c>
      <c r="F144" s="116">
        <f ca="1">-$G$20/SUM(E133:F133)</f>
        <v>3.3342228713500802E-2</v>
      </c>
      <c r="G144" s="116">
        <f>+$G$86</f>
        <v>6.5000000000000002E-2</v>
      </c>
      <c r="H144" s="116"/>
    </row>
    <row r="145" spans="1:20" ht="16" customHeight="1" x14ac:dyDescent="0.35">
      <c r="B145" s="119"/>
      <c r="C145" s="41"/>
      <c r="D145" s="41"/>
      <c r="E145" s="34"/>
      <c r="F145" s="34"/>
      <c r="G145" s="34"/>
      <c r="H145" s="41"/>
    </row>
    <row r="146" spans="1:20" ht="16" customHeight="1" x14ac:dyDescent="0.35">
      <c r="B146" s="119"/>
      <c r="C146" s="41"/>
      <c r="D146" s="41"/>
      <c r="E146" s="555" t="s">
        <v>748</v>
      </c>
    </row>
    <row r="147" spans="1:20" ht="16" customHeight="1" x14ac:dyDescent="0.35">
      <c r="B147" s="41" t="s">
        <v>399</v>
      </c>
      <c r="C147" s="41"/>
      <c r="D147" s="41"/>
      <c r="E147" s="116">
        <f ca="1">+'Cash Flow Roll-up'!C56</f>
        <v>0.13786783674743441</v>
      </c>
    </row>
    <row r="148" spans="1:20" ht="16" customHeight="1" x14ac:dyDescent="0.35">
      <c r="B148" s="41" t="s">
        <v>749</v>
      </c>
      <c r="C148" s="41"/>
      <c r="D148" s="41"/>
      <c r="E148" s="116">
        <f ca="1">+'Cash Flow Roll-up'!D56</f>
        <v>0.25394836654862751</v>
      </c>
    </row>
    <row r="149" spans="1:20" ht="16" customHeight="1" x14ac:dyDescent="0.35">
      <c r="B149" s="41" t="s">
        <v>750</v>
      </c>
      <c r="C149" s="41"/>
      <c r="D149" s="41"/>
      <c r="E149" s="116">
        <f ca="1">+'Cash Flow Roll-up'!E56</f>
        <v>0.32970544661755119</v>
      </c>
    </row>
    <row r="153" spans="1:20" ht="16" customHeight="1" x14ac:dyDescent="0.25">
      <c r="T153" t="s">
        <v>753</v>
      </c>
    </row>
    <row r="154" spans="1:20" ht="16" customHeight="1" thickBot="1" x14ac:dyDescent="0.45">
      <c r="B154" s="119" t="s">
        <v>384</v>
      </c>
      <c r="C154" s="41"/>
      <c r="D154" s="41"/>
      <c r="E154" s="555" t="s">
        <v>661</v>
      </c>
      <c r="F154" s="555" t="s">
        <v>662</v>
      </c>
      <c r="G154" s="555" t="s">
        <v>177</v>
      </c>
      <c r="H154" s="555" t="s">
        <v>230</v>
      </c>
      <c r="J154" s="828" t="s">
        <v>384</v>
      </c>
      <c r="K154" s="828"/>
      <c r="L154" s="828"/>
      <c r="M154" s="828"/>
      <c r="N154" s="828"/>
      <c r="O154" s="828"/>
      <c r="P154" s="828"/>
      <c r="Q154" s="828"/>
      <c r="R154" s="828"/>
    </row>
    <row r="155" spans="1:20" ht="16" customHeight="1" x14ac:dyDescent="0.35">
      <c r="A155" s="208">
        <v>0</v>
      </c>
      <c r="B155" s="41" t="s">
        <v>143</v>
      </c>
      <c r="C155" s="41"/>
      <c r="D155" s="41"/>
      <c r="E155" s="34">
        <f ca="1">-OFFSET(Budget!$AU$82,0,'Loan Sizing'!A155)</f>
        <v>-25582628.491270997</v>
      </c>
      <c r="F155" s="34">
        <f ca="1">+'S&amp;U'!$T$20*'Loan Sizing'!E155/'Loan Sizing'!$E$163+G155</f>
        <v>14803186.477897886</v>
      </c>
      <c r="G155" s="34">
        <f>+'S&amp;U'!$J$20</f>
        <v>10625026.803841824</v>
      </c>
      <c r="H155" s="42">
        <f ca="1">+Budget!$J$11</f>
        <v>107120.45511111115</v>
      </c>
    </row>
    <row r="156" spans="1:20" ht="16" customHeight="1" x14ac:dyDescent="0.35">
      <c r="A156" s="208">
        <f>+A155+1</f>
        <v>1</v>
      </c>
      <c r="B156" s="41" t="s">
        <v>144</v>
      </c>
      <c r="C156" s="41"/>
      <c r="D156" s="41"/>
      <c r="E156" s="34">
        <f ca="1">-OFFSET(Budget!$AU$82,0,'Loan Sizing'!A156)</f>
        <v>-113993039.9115651</v>
      </c>
      <c r="F156" s="34">
        <f ca="1">+'S&amp;U'!$T$20*'Loan Sizing'!E156/'Loan Sizing'!$E$163+G156</f>
        <v>18617364.616934322</v>
      </c>
      <c r="G156" s="34">
        <f>+'S&amp;U'!$J$22</f>
        <v>0</v>
      </c>
      <c r="H156" s="42">
        <f ca="1">+Budget!$J$12</f>
        <v>428481.8204444446</v>
      </c>
    </row>
    <row r="157" spans="1:20" ht="16" customHeight="1" x14ac:dyDescent="0.35">
      <c r="A157" s="208">
        <f t="shared" ref="A157:A162" si="13">+A156+1</f>
        <v>2</v>
      </c>
      <c r="B157" s="41" t="s">
        <v>25</v>
      </c>
      <c r="C157" s="41"/>
      <c r="D157" s="41"/>
      <c r="E157" s="34">
        <f ca="1">-OFFSET(Budget!$AU$82,0,'Loan Sizing'!A157)</f>
        <v>-19478409.970110651</v>
      </c>
      <c r="F157" s="34">
        <f ca="1">+'S&amp;U'!$T$20*'Loan Sizing'!E157/'Loan Sizing'!$E$163+G157</f>
        <v>3181217.5625196896</v>
      </c>
      <c r="G157" s="34">
        <v>0</v>
      </c>
      <c r="H157" s="42">
        <f ca="1">+Budget!$J$13</f>
        <v>78330</v>
      </c>
    </row>
    <row r="158" spans="1:20" ht="16" customHeight="1" x14ac:dyDescent="0.35">
      <c r="A158" s="208">
        <f t="shared" si="13"/>
        <v>3</v>
      </c>
      <c r="B158" s="41" t="s">
        <v>26</v>
      </c>
      <c r="C158" s="41"/>
      <c r="D158" s="41"/>
      <c r="E158" s="34">
        <f ca="1">-OFFSET(Budget!$AU$82,0,'Loan Sizing'!A158)</f>
        <v>-6142677.4854149157</v>
      </c>
      <c r="F158" s="34">
        <f ca="1">+'S&amp;U'!$T$20*'Loan Sizing'!E158/'Loan Sizing'!$E$163+G158</f>
        <v>1003223.2367776375</v>
      </c>
      <c r="G158" s="34">
        <v>0</v>
      </c>
      <c r="H158" s="42">
        <f ca="1">+Budget!$J$14</f>
        <v>22366.613333333331</v>
      </c>
    </row>
    <row r="159" spans="1:20" ht="16" customHeight="1" x14ac:dyDescent="0.35">
      <c r="A159" s="208">
        <f t="shared" si="13"/>
        <v>4</v>
      </c>
      <c r="B159" s="41" t="s">
        <v>147</v>
      </c>
      <c r="C159" s="41"/>
      <c r="D159" s="41"/>
      <c r="E159" s="34">
        <f ca="1">-OFFSET(Budget!$AU$82,0,'Loan Sizing'!A159)</f>
        <v>-18703720.397015721</v>
      </c>
      <c r="F159" s="34">
        <f ca="1">+'S&amp;U'!$T$20*'Loan Sizing'!E159/'Loan Sizing'!$E$163+G159</f>
        <v>8592695.1164261866</v>
      </c>
      <c r="G159" s="34">
        <f>+'S&amp;U'!$J$21</f>
        <v>5538000</v>
      </c>
      <c r="H159" s="42">
        <f ca="1">+Budget!$J$15</f>
        <v>78210</v>
      </c>
    </row>
    <row r="160" spans="1:20" ht="16" customHeight="1" x14ac:dyDescent="0.35">
      <c r="A160" s="208">
        <f t="shared" si="13"/>
        <v>5</v>
      </c>
      <c r="B160" s="41" t="s">
        <v>148</v>
      </c>
      <c r="C160" s="41"/>
      <c r="D160" s="41"/>
      <c r="E160" s="34">
        <f ca="1">-OFFSET(Budget!$AU$82,0,'Loan Sizing'!A160)</f>
        <v>-153612840.87146428</v>
      </c>
      <c r="F160" s="34">
        <f ca="1">+'S&amp;U'!$T$20*'Loan Sizing'!E160/'Loan Sizing'!$E$163+G160</f>
        <v>25088077.926212195</v>
      </c>
      <c r="G160" s="34">
        <v>0</v>
      </c>
      <c r="H160" s="42">
        <f ca="1">+Budget!$J$16</f>
        <v>612540.11111111101</v>
      </c>
    </row>
    <row r="161" spans="1:8" ht="16" customHeight="1" x14ac:dyDescent="0.35">
      <c r="A161" s="208">
        <f t="shared" si="13"/>
        <v>6</v>
      </c>
      <c r="B161" s="41" t="s">
        <v>238</v>
      </c>
      <c r="C161" s="41"/>
      <c r="D161" s="41"/>
      <c r="E161" s="34">
        <f ca="1">-OFFSET(Budget!$AU$82,0,'Loan Sizing'!A161)</f>
        <v>-42669311.732785463</v>
      </c>
      <c r="F161" s="34">
        <f ca="1">+'S&amp;U'!$T$20*'Loan Sizing'!E161/'Loan Sizing'!$E$163+G161</f>
        <v>6968759.9795494732</v>
      </c>
      <c r="G161" s="34">
        <v>0</v>
      </c>
      <c r="H161" s="42">
        <f ca="1">+Budget!$J$17</f>
        <v>234630</v>
      </c>
    </row>
    <row r="162" spans="1:8" ht="16" customHeight="1" x14ac:dyDescent="0.35">
      <c r="A162" s="208">
        <f t="shared" si="13"/>
        <v>7</v>
      </c>
      <c r="B162" s="41" t="s">
        <v>224</v>
      </c>
      <c r="C162" s="41"/>
      <c r="D162" s="41"/>
      <c r="E162" s="34">
        <f ca="1">-Budget!BB82-Budget!BC82</f>
        <v>-13364780.627024664</v>
      </c>
      <c r="F162" s="34">
        <f ca="1">+'S&amp;U'!$T$20*'Loan Sizing'!E162/'Loan Sizing'!$E$163+G162</f>
        <v>2182738.4737847904</v>
      </c>
      <c r="G162" s="34">
        <v>0</v>
      </c>
      <c r="H162" s="42">
        <f ca="1">+Budget!$J$18+Budget!$J$19</f>
        <v>198000</v>
      </c>
    </row>
    <row r="163" spans="1:8" ht="16" customHeight="1" x14ac:dyDescent="0.35">
      <c r="B163" s="119" t="s">
        <v>17</v>
      </c>
      <c r="C163" s="41"/>
      <c r="D163" s="41"/>
      <c r="E163" s="34">
        <f ca="1">+SUM(E155:E162)</f>
        <v>-393547409.48665178</v>
      </c>
      <c r="F163" s="34">
        <f ca="1">+SUM(F155:F162)</f>
        <v>80437263.390102178</v>
      </c>
      <c r="G163" s="34">
        <f>+SUM(G155:G162)</f>
        <v>16163026.803841824</v>
      </c>
      <c r="H163" s="41"/>
    </row>
    <row r="164" spans="1:8" ht="16" customHeight="1" x14ac:dyDescent="0.35">
      <c r="B164" s="41"/>
      <c r="C164" s="41"/>
      <c r="D164" s="41"/>
      <c r="E164" s="34"/>
      <c r="F164" s="554"/>
      <c r="G164" s="41"/>
      <c r="H164" s="41"/>
    </row>
    <row r="165" spans="1:8" ht="16" customHeight="1" x14ac:dyDescent="0.35">
      <c r="B165" s="119"/>
      <c r="C165" s="41"/>
      <c r="D165" s="41"/>
      <c r="E165" s="555" t="s">
        <v>258</v>
      </c>
      <c r="F165" s="555" t="s">
        <v>747</v>
      </c>
      <c r="G165" s="555" t="s">
        <v>663</v>
      </c>
      <c r="H165" s="41"/>
    </row>
    <row r="166" spans="1:8" ht="16" customHeight="1" x14ac:dyDescent="0.35">
      <c r="B166" s="41" t="str">
        <f t="shared" ref="B166:B173" si="14">+B155</f>
        <v>Affordable Residential</v>
      </c>
      <c r="C166" s="41"/>
      <c r="D166" s="41"/>
      <c r="E166" s="116">
        <f ca="1">-$H$15/E155</f>
        <v>1.1368421170745636E-2</v>
      </c>
      <c r="F166" s="116">
        <f ca="1">-$H$15/SUM(E155:F155)</f>
        <v>2.6980440637156662E-2</v>
      </c>
      <c r="G166" s="116">
        <f>+$G$79</f>
        <v>5.7500000000000002E-2</v>
      </c>
      <c r="H166" s="116"/>
    </row>
    <row r="167" spans="1:8" ht="16" customHeight="1" x14ac:dyDescent="0.35">
      <c r="B167" s="41" t="str">
        <f t="shared" si="14"/>
        <v>Market Rate Residential</v>
      </c>
      <c r="C167" s="41"/>
      <c r="D167" s="41"/>
      <c r="E167" s="116">
        <f ca="1">-$H$16/E156</f>
        <v>6.0768882291150954E-2</v>
      </c>
      <c r="F167" s="116">
        <f ca="1">-$H$16/SUM(E156:F156)</f>
        <v>7.2630989012628724E-2</v>
      </c>
      <c r="G167" s="116">
        <f>+$G$80</f>
        <v>5.5E-2</v>
      </c>
      <c r="H167" s="116"/>
    </row>
    <row r="168" spans="1:8" ht="16" customHeight="1" x14ac:dyDescent="0.35">
      <c r="B168" s="41" t="str">
        <f t="shared" si="14"/>
        <v>Retail</v>
      </c>
      <c r="C168" s="41"/>
      <c r="D168" s="41"/>
      <c r="E168" s="116">
        <f ca="1">-$H$17/E157</f>
        <v>7.5532241558456198E-2</v>
      </c>
      <c r="F168" s="116">
        <f ca="1">-$H$17/SUM(E157:F157)</f>
        <v>9.0276161085989057E-2</v>
      </c>
      <c r="G168" s="116">
        <f>+$G$81</f>
        <v>6.5000000000000002E-2</v>
      </c>
      <c r="H168" s="116"/>
    </row>
    <row r="169" spans="1:8" ht="16" customHeight="1" x14ac:dyDescent="0.35">
      <c r="B169" s="41" t="str">
        <f t="shared" si="14"/>
        <v>Hotel</v>
      </c>
      <c r="C169" s="41"/>
      <c r="D169" s="41"/>
      <c r="E169" s="116">
        <f ca="1">-$H$36/E158</f>
        <v>8.8556396428660478E-2</v>
      </c>
      <c r="F169" s="116">
        <f ca="1">-$H$36/SUM(E158:F158)</f>
        <v>0.10584263546582685</v>
      </c>
      <c r="G169" s="116">
        <f>+$G$82</f>
        <v>0.08</v>
      </c>
      <c r="H169" s="116"/>
    </row>
    <row r="170" spans="1:8" ht="16" customHeight="1" x14ac:dyDescent="0.35">
      <c r="B170" s="41" t="str">
        <f t="shared" si="14"/>
        <v>Community Facility</v>
      </c>
      <c r="C170" s="41"/>
      <c r="D170" s="41"/>
      <c r="E170" s="116">
        <f ca="1">-$H$18/E159</f>
        <v>3.9724449693898788E-2</v>
      </c>
      <c r="F170" s="116">
        <f ca="1">-$H$18/SUM(E159:F159)</f>
        <v>7.348364576106356E-2</v>
      </c>
      <c r="G170" s="116">
        <f>+$G$83</f>
        <v>6.7500000000000004E-2</v>
      </c>
      <c r="H170" s="116"/>
    </row>
    <row r="171" spans="1:8" ht="16" customHeight="1" x14ac:dyDescent="0.35">
      <c r="B171" s="41" t="str">
        <f t="shared" si="14"/>
        <v>Office</v>
      </c>
      <c r="C171" s="41"/>
      <c r="D171" s="41"/>
      <c r="E171" s="116">
        <f ca="1">-$H$19/E160</f>
        <v>8.3404355286620144E-2</v>
      </c>
      <c r="F171" s="116">
        <f ca="1">-$H$19/SUM(E160:F160)</f>
        <v>9.9684914121088028E-2</v>
      </c>
      <c r="G171" s="116">
        <f>+$G$84</f>
        <v>6.5000000000000002E-2</v>
      </c>
      <c r="H171" s="116"/>
    </row>
    <row r="172" spans="1:8" ht="16" customHeight="1" x14ac:dyDescent="0.35">
      <c r="B172" s="41" t="str">
        <f t="shared" si="14"/>
        <v>Industrial</v>
      </c>
      <c r="C172" s="41"/>
      <c r="D172" s="41"/>
      <c r="E172" s="116">
        <f ca="1">-$H$52/E161</f>
        <v>6.7139436155090992E-2</v>
      </c>
      <c r="F172" s="116">
        <f ca="1">-$H$52/SUM(E161:F161)</f>
        <v>8.0245077181625143E-2</v>
      </c>
      <c r="G172" s="116">
        <f>+$G$85</f>
        <v>5.5E-2</v>
      </c>
      <c r="H172" s="116"/>
    </row>
    <row r="173" spans="1:8" ht="16" customHeight="1" x14ac:dyDescent="0.35">
      <c r="B173" s="41" t="str">
        <f t="shared" si="14"/>
        <v>Parking</v>
      </c>
      <c r="C173" s="41"/>
      <c r="D173" s="41"/>
      <c r="E173" s="116">
        <f ca="1">-$H$20/E162</f>
        <v>3.8054378647931299E-2</v>
      </c>
      <c r="F173" s="116">
        <f ca="1">-$H$20/SUM(E162:F162)</f>
        <v>4.5482606446799648E-2</v>
      </c>
      <c r="G173" s="116">
        <f>+$G$86</f>
        <v>6.5000000000000002E-2</v>
      </c>
      <c r="H173" s="116"/>
    </row>
    <row r="174" spans="1:8" ht="16" customHeight="1" x14ac:dyDescent="0.35">
      <c r="B174" s="119"/>
      <c r="C174" s="41"/>
      <c r="D174" s="41"/>
      <c r="E174" s="34"/>
      <c r="F174" s="34"/>
      <c r="G174" s="34"/>
      <c r="H174" s="41"/>
    </row>
    <row r="175" spans="1:8" ht="16" customHeight="1" x14ac:dyDescent="0.35">
      <c r="B175" s="119"/>
      <c r="C175" s="41"/>
      <c r="D175" s="41"/>
      <c r="E175" s="555" t="s">
        <v>748</v>
      </c>
    </row>
    <row r="176" spans="1:8" ht="16" customHeight="1" x14ac:dyDescent="0.35">
      <c r="B176" s="41" t="s">
        <v>399</v>
      </c>
      <c r="C176" s="41"/>
      <c r="D176" s="41"/>
      <c r="E176" s="116">
        <f ca="1">+'Cash Flow Roll-up'!C57</f>
        <v>0.14871588484395204</v>
      </c>
    </row>
    <row r="177" spans="2:5" ht="16" customHeight="1" x14ac:dyDescent="0.35">
      <c r="B177" s="41" t="s">
        <v>749</v>
      </c>
      <c r="C177" s="41"/>
      <c r="D177" s="41"/>
      <c r="E177" s="116">
        <f ca="1">+'Cash Flow Roll-up'!D57</f>
        <v>0.25261779574553245</v>
      </c>
    </row>
    <row r="178" spans="2:5" ht="16" customHeight="1" x14ac:dyDescent="0.35">
      <c r="B178" s="41" t="s">
        <v>750</v>
      </c>
      <c r="C178" s="41"/>
      <c r="D178" s="41"/>
      <c r="E178" s="116">
        <f ca="1">+'Cash Flow Roll-up'!E57</f>
        <v>0.30491617202346194</v>
      </c>
    </row>
  </sheetData>
  <mergeCells count="8">
    <mergeCell ref="J96:R96"/>
    <mergeCell ref="J125:R125"/>
    <mergeCell ref="J154:R154"/>
    <mergeCell ref="B65:H65"/>
    <mergeCell ref="I3:J3"/>
    <mergeCell ref="K3:L3"/>
    <mergeCell ref="M3:N3"/>
    <mergeCell ref="J67:R67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2:Z435"/>
  <sheetViews>
    <sheetView showGridLines="0" topLeftCell="A206" zoomScale="55" zoomScaleNormal="55" workbookViewId="0">
      <selection activeCell="B233" sqref="B233"/>
    </sheetView>
  </sheetViews>
  <sheetFormatPr defaultColWidth="14.453125" defaultRowHeight="15.5" x14ac:dyDescent="0.35"/>
  <cols>
    <col min="1" max="1" width="8.453125" style="41" customWidth="1"/>
    <col min="2" max="2" width="17.81640625" style="41" customWidth="1"/>
    <col min="3" max="3" width="23.453125" style="41" customWidth="1"/>
    <col min="4" max="4" width="17.453125" style="41" bestFit="1" customWidth="1"/>
    <col min="5" max="5" width="14.81640625" style="41" customWidth="1"/>
    <col min="6" max="6" width="18" style="41" bestFit="1" customWidth="1"/>
    <col min="7" max="8" width="15.453125" style="41" bestFit="1" customWidth="1"/>
    <col min="9" max="10" width="14.453125" style="41"/>
    <col min="11" max="11" width="15.453125" style="41" bestFit="1" customWidth="1"/>
    <col min="12" max="16384" width="14.453125" style="41"/>
  </cols>
  <sheetData>
    <row r="2" spans="1:26" x14ac:dyDescent="0.35">
      <c r="B2" s="146" t="s">
        <v>261</v>
      </c>
      <c r="E2" s="146">
        <v>0</v>
      </c>
      <c r="F2" s="147">
        <f>+IF(F7&gt;=Assumptions!$F$26,'Phase I Pro Forma'!E2+1,'Phase I Pro Forma'!E2)</f>
        <v>0</v>
      </c>
      <c r="G2" s="147">
        <f>+IF(G7&gt;=Assumptions!$F$26,'Phase I Pro Forma'!F2+1,'Phase I Pro Forma'!F2)</f>
        <v>0</v>
      </c>
      <c r="H2" s="147">
        <f>+IF(H7&gt;=Assumptions!$F$26,'Phase I Pro Forma'!G2+1,'Phase I Pro Forma'!G2)</f>
        <v>0</v>
      </c>
      <c r="I2" s="147">
        <f>+IF(I7&gt;=Assumptions!$F$26,'Phase I Pro Forma'!H2+1,'Phase I Pro Forma'!H2)</f>
        <v>1</v>
      </c>
      <c r="J2" s="147">
        <f>+IF(J7&gt;=Assumptions!$F$26,'Phase I Pro Forma'!I2+1,'Phase I Pro Forma'!I2)</f>
        <v>2</v>
      </c>
      <c r="K2" s="147">
        <f>+IF(K7&gt;=Assumptions!$F$26,'Phase I Pro Forma'!J2+1,'Phase I Pro Forma'!J2)</f>
        <v>3</v>
      </c>
      <c r="L2" s="147">
        <f>+IF(L7&gt;=Assumptions!$F$26,'Phase I Pro Forma'!K2+1,'Phase I Pro Forma'!K2)</f>
        <v>4</v>
      </c>
      <c r="M2" s="147">
        <f>+IF(M7&gt;=Assumptions!$F$26,'Phase I Pro Forma'!L2+1,'Phase I Pro Forma'!L2)</f>
        <v>5</v>
      </c>
      <c r="N2" s="147">
        <f>+IF(N7&gt;=Assumptions!$F$26,'Phase I Pro Forma'!M2+1,'Phase I Pro Forma'!M2)</f>
        <v>6</v>
      </c>
      <c r="O2" s="147">
        <f>+IF(O7&gt;=Assumptions!$F$26,'Phase I Pro Forma'!N2+1,'Phase I Pro Forma'!N2)</f>
        <v>7</v>
      </c>
      <c r="P2" s="147">
        <f>+IF(P7&gt;=Assumptions!$F$26,'Phase I Pro Forma'!O2+1,'Phase I Pro Forma'!O2)</f>
        <v>8</v>
      </c>
      <c r="Q2" s="147">
        <f>+IF(Q7&gt;=Assumptions!$F$26,'Phase I Pro Forma'!P2+1,'Phase I Pro Forma'!P2)</f>
        <v>9</v>
      </c>
      <c r="R2" s="147">
        <f>+IF(R7&gt;=Assumptions!$F$26,'Phase I Pro Forma'!Q2+1,'Phase I Pro Forma'!Q2)</f>
        <v>10</v>
      </c>
      <c r="S2" s="147">
        <f>+IF(S7&gt;=Assumptions!$F$26,'Phase I Pro Forma'!R2+1,'Phase I Pro Forma'!R2)</f>
        <v>11</v>
      </c>
      <c r="T2" s="147">
        <f>+IF(T7&gt;=Assumptions!$F$26,'Phase I Pro Forma'!S2+1,'Phase I Pro Forma'!S2)</f>
        <v>12</v>
      </c>
      <c r="U2" s="147">
        <f>+IF(U7&gt;=Assumptions!$F$26,'Phase I Pro Forma'!T2+1,'Phase I Pro Forma'!T2)</f>
        <v>13</v>
      </c>
      <c r="V2" s="147">
        <f>+IF(V7&gt;=Assumptions!$F$26,'Phase I Pro Forma'!U2+1,'Phase I Pro Forma'!U2)</f>
        <v>14</v>
      </c>
      <c r="W2" s="147">
        <f>+IF(W7&gt;=Assumptions!$F$26,'Phase I Pro Forma'!V2+1,'Phase I Pro Forma'!V2)</f>
        <v>15</v>
      </c>
      <c r="X2" s="147">
        <f>+IF(X7&gt;=Assumptions!$F$26,'Phase I Pro Forma'!W2+1,'Phase I Pro Forma'!W2)</f>
        <v>16</v>
      </c>
      <c r="Y2" s="147">
        <f>+IF(Y7&gt;=Assumptions!$F$26,'Phase I Pro Forma'!X2+1,'Phase I Pro Forma'!X2)</f>
        <v>17</v>
      </c>
      <c r="Z2" s="147">
        <f>+IF(Z7&gt;=Assumptions!$F$26,'Phase I Pro Forma'!Y2+1,'Phase I Pro Forma'!Y2)</f>
        <v>18</v>
      </c>
    </row>
    <row r="3" spans="1:26" x14ac:dyDescent="0.35">
      <c r="B3" s="146" t="s">
        <v>282</v>
      </c>
      <c r="F3" s="147">
        <f>+IF(F7&gt;=Assumptions!$F$28,'Phase I Pro Forma'!E3+1,'Phase I Pro Forma'!E3)</f>
        <v>0</v>
      </c>
      <c r="G3" s="147">
        <f>+IF(G7&gt;=Assumptions!$F$28,'Phase I Pro Forma'!F3+1,'Phase I Pro Forma'!F3)</f>
        <v>0</v>
      </c>
      <c r="H3" s="147">
        <f>+IF(H7&gt;=Assumptions!$F$28,'Phase I Pro Forma'!G3+1,'Phase I Pro Forma'!G3)</f>
        <v>0</v>
      </c>
      <c r="I3" s="147">
        <f>+IF(I7&gt;=Assumptions!$F$28,'Phase I Pro Forma'!H3+1,'Phase I Pro Forma'!H3)</f>
        <v>0</v>
      </c>
      <c r="J3" s="147">
        <f>+IF(J7&gt;=Assumptions!$F$28,'Phase I Pro Forma'!I3+1,'Phase I Pro Forma'!I3)</f>
        <v>0</v>
      </c>
      <c r="K3" s="147">
        <f>+IF(K7&gt;=Assumptions!$F$28,'Phase I Pro Forma'!J3+1,'Phase I Pro Forma'!J3)</f>
        <v>1</v>
      </c>
      <c r="L3" s="147">
        <f>+IF(L7&gt;=Assumptions!$F$28,'Phase I Pro Forma'!K3+1,'Phase I Pro Forma'!K3)</f>
        <v>2</v>
      </c>
      <c r="M3" s="147">
        <f>+IF(M7&gt;=Assumptions!$F$28,'Phase I Pro Forma'!L3+1,'Phase I Pro Forma'!L3)</f>
        <v>3</v>
      </c>
      <c r="N3" s="147">
        <f>+IF(N7&gt;=Assumptions!$F$28,'Phase I Pro Forma'!M3+1,'Phase I Pro Forma'!M3)</f>
        <v>4</v>
      </c>
      <c r="O3" s="147">
        <f>+IF(O7&gt;=Assumptions!$F$28,'Phase I Pro Forma'!N3+1,'Phase I Pro Forma'!N3)</f>
        <v>5</v>
      </c>
      <c r="P3" s="147">
        <f>+IF(P7&gt;=Assumptions!$F$28,'Phase I Pro Forma'!O3+1,'Phase I Pro Forma'!O3)</f>
        <v>6</v>
      </c>
      <c r="Q3" s="147">
        <f>+IF(Q7&gt;=Assumptions!$F$28,'Phase I Pro Forma'!P3+1,'Phase I Pro Forma'!P3)</f>
        <v>7</v>
      </c>
      <c r="R3" s="147">
        <f>+IF(R7&gt;=Assumptions!$F$28,'Phase I Pro Forma'!Q3+1,'Phase I Pro Forma'!Q3)</f>
        <v>8</v>
      </c>
      <c r="S3" s="147">
        <f>+IF(S7&gt;=Assumptions!$F$28,'Phase I Pro Forma'!R3+1,'Phase I Pro Forma'!R3)</f>
        <v>9</v>
      </c>
      <c r="T3" s="147">
        <f>+IF(T7&gt;=Assumptions!$F$28,'Phase I Pro Forma'!S3+1,'Phase I Pro Forma'!S3)</f>
        <v>10</v>
      </c>
      <c r="U3" s="147">
        <f>+IF(U7&gt;=Assumptions!$F$28,'Phase I Pro Forma'!T3+1,'Phase I Pro Forma'!T3)</f>
        <v>11</v>
      </c>
      <c r="V3" s="147">
        <f>+IF(V7&gt;=Assumptions!$F$28,'Phase I Pro Forma'!U3+1,'Phase I Pro Forma'!U3)</f>
        <v>12</v>
      </c>
      <c r="W3" s="147">
        <f>+IF(W7&gt;=Assumptions!$F$28,'Phase I Pro Forma'!V3+1,'Phase I Pro Forma'!V3)</f>
        <v>13</v>
      </c>
      <c r="X3" s="147">
        <f>+IF(X7&gt;=Assumptions!$F$28,'Phase I Pro Forma'!W3+1,'Phase I Pro Forma'!W3)</f>
        <v>14</v>
      </c>
      <c r="Y3" s="147">
        <f>+IF(Y7&gt;=Assumptions!$F$28,'Phase I Pro Forma'!X3+1,'Phase I Pro Forma'!X3)</f>
        <v>15</v>
      </c>
      <c r="Z3" s="147">
        <f>+IF(Z7&gt;=Assumptions!$F$28,'Phase I Pro Forma'!Y3+1,'Phase I Pro Forma'!Y3)</f>
        <v>16</v>
      </c>
    </row>
    <row r="4" spans="1:26" x14ac:dyDescent="0.35">
      <c r="F4" s="42"/>
      <c r="G4" s="42"/>
      <c r="H4" s="42"/>
      <c r="I4" s="42"/>
      <c r="J4" s="42"/>
      <c r="K4" s="42"/>
      <c r="L4" s="42"/>
      <c r="M4" s="42"/>
      <c r="N4" s="42"/>
    </row>
    <row r="5" spans="1:26" x14ac:dyDescent="0.35">
      <c r="B5" s="37" t="s">
        <v>777</v>
      </c>
      <c r="C5" s="38"/>
      <c r="D5" s="38"/>
      <c r="E5" s="38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spans="1:26" x14ac:dyDescent="0.35">
      <c r="B6" s="119"/>
      <c r="F6" s="229">
        <f>+YEAR(F7)</f>
        <v>2020</v>
      </c>
      <c r="G6" s="229">
        <f t="shared" ref="G6:Z6" si="0">+YEAR(G7)</f>
        <v>2021</v>
      </c>
      <c r="H6" s="229">
        <f t="shared" si="0"/>
        <v>2022</v>
      </c>
      <c r="I6" s="229">
        <f t="shared" si="0"/>
        <v>2023</v>
      </c>
      <c r="J6" s="229">
        <f t="shared" si="0"/>
        <v>2024</v>
      </c>
      <c r="K6" s="229">
        <f t="shared" si="0"/>
        <v>2025</v>
      </c>
      <c r="L6" s="229">
        <f t="shared" si="0"/>
        <v>2026</v>
      </c>
      <c r="M6" s="229">
        <f t="shared" si="0"/>
        <v>2027</v>
      </c>
      <c r="N6" s="229">
        <f t="shared" si="0"/>
        <v>2028</v>
      </c>
      <c r="O6" s="229">
        <f t="shared" si="0"/>
        <v>2029</v>
      </c>
      <c r="P6" s="229">
        <f t="shared" si="0"/>
        <v>2030</v>
      </c>
      <c r="Q6" s="229">
        <f t="shared" si="0"/>
        <v>2031</v>
      </c>
      <c r="R6" s="229">
        <f t="shared" si="0"/>
        <v>2032</v>
      </c>
      <c r="S6" s="229">
        <f t="shared" si="0"/>
        <v>2033</v>
      </c>
      <c r="T6" s="229">
        <f t="shared" si="0"/>
        <v>2034</v>
      </c>
      <c r="U6" s="229">
        <f t="shared" si="0"/>
        <v>2035</v>
      </c>
      <c r="V6" s="229">
        <f t="shared" si="0"/>
        <v>2036</v>
      </c>
      <c r="W6" s="229">
        <f t="shared" si="0"/>
        <v>2037</v>
      </c>
      <c r="X6" s="229">
        <f t="shared" si="0"/>
        <v>2038</v>
      </c>
      <c r="Y6" s="229">
        <f t="shared" si="0"/>
        <v>2039</v>
      </c>
      <c r="Z6" s="229">
        <f t="shared" si="0"/>
        <v>2040</v>
      </c>
    </row>
    <row r="7" spans="1:26" x14ac:dyDescent="0.35">
      <c r="B7" s="148" t="s">
        <v>143</v>
      </c>
      <c r="C7" s="149"/>
      <c r="D7" s="149"/>
      <c r="E7" s="149"/>
      <c r="F7" s="150">
        <f>+Assumptions!$F$22</f>
        <v>44196</v>
      </c>
      <c r="G7" s="150">
        <f>+EOMONTH(F7,12)</f>
        <v>44561</v>
      </c>
      <c r="H7" s="150">
        <f t="shared" ref="H7:V7" si="1">+EOMONTH(G7,12)</f>
        <v>44926</v>
      </c>
      <c r="I7" s="150">
        <f t="shared" si="1"/>
        <v>45291</v>
      </c>
      <c r="J7" s="150">
        <f t="shared" si="1"/>
        <v>45657</v>
      </c>
      <c r="K7" s="150">
        <f t="shared" si="1"/>
        <v>46022</v>
      </c>
      <c r="L7" s="150">
        <f t="shared" si="1"/>
        <v>46387</v>
      </c>
      <c r="M7" s="150">
        <f t="shared" si="1"/>
        <v>46752</v>
      </c>
      <c r="N7" s="150">
        <f t="shared" si="1"/>
        <v>47118</v>
      </c>
      <c r="O7" s="150">
        <f t="shared" si="1"/>
        <v>47483</v>
      </c>
      <c r="P7" s="150">
        <f t="shared" si="1"/>
        <v>47848</v>
      </c>
      <c r="Q7" s="150">
        <f t="shared" si="1"/>
        <v>48213</v>
      </c>
      <c r="R7" s="150">
        <f t="shared" si="1"/>
        <v>48579</v>
      </c>
      <c r="S7" s="150">
        <f t="shared" si="1"/>
        <v>48944</v>
      </c>
      <c r="T7" s="150">
        <f t="shared" si="1"/>
        <v>49309</v>
      </c>
      <c r="U7" s="150">
        <f t="shared" si="1"/>
        <v>49674</v>
      </c>
      <c r="V7" s="150">
        <f t="shared" si="1"/>
        <v>50040</v>
      </c>
      <c r="W7" s="150">
        <f t="shared" ref="W7:Z7" si="2">+EOMONTH(V7,12)</f>
        <v>50405</v>
      </c>
      <c r="X7" s="150">
        <f t="shared" si="2"/>
        <v>50770</v>
      </c>
      <c r="Y7" s="150">
        <f t="shared" si="2"/>
        <v>51135</v>
      </c>
      <c r="Z7" s="150">
        <f t="shared" si="2"/>
        <v>51501</v>
      </c>
    </row>
    <row r="8" spans="1:26" x14ac:dyDescent="0.35">
      <c r="A8" s="140" t="b">
        <f>+SUM(F8:Z8)=Assumptions!$F$55</f>
        <v>1</v>
      </c>
      <c r="B8" s="33" t="s">
        <v>766</v>
      </c>
      <c r="C8" s="33"/>
      <c r="D8" s="40"/>
      <c r="E8" s="40"/>
      <c r="F8" s="42">
        <f>+IF(AND(F7&gt;=Assumptions!$F$26,F7&lt;Assumptions!$F$28),Assumptions!$F$55/ROUNDUP((Assumptions!$F$27/12),0),0)</f>
        <v>0</v>
      </c>
      <c r="G8" s="42">
        <f>+IF(AND(G7&gt;=Assumptions!$F$26,G7&lt;Assumptions!$F$28),Assumptions!$F$55/ROUNDUP((Assumptions!$F$27/12),0),0)</f>
        <v>0</v>
      </c>
      <c r="H8" s="42">
        <f>+IF(AND(H7&gt;=Assumptions!$F$26,H7&lt;Assumptions!$F$28),Assumptions!$F$55/ROUNDUP((Assumptions!$F$27/12),0),0)</f>
        <v>0</v>
      </c>
      <c r="I8" s="42">
        <f>+IF(AND(I7&gt;=Assumptions!$F$26,I7&lt;Assumptions!$F$28),Assumptions!$F$55/ROUNDUP((Assumptions!$F$27/12),0),0)</f>
        <v>54665.792569710728</v>
      </c>
      <c r="J8" s="42">
        <f>+IF(AND(J7&gt;=Assumptions!$F$26,J7&lt;Assumptions!$F$28),Assumptions!$F$55/ROUNDUP((Assumptions!$F$27/12),0),0)</f>
        <v>54665.792569710728</v>
      </c>
      <c r="K8" s="42">
        <f>+IF(AND(K7&gt;=Assumptions!$F$26,K7&lt;Assumptions!$F$28),Assumptions!$F$55/ROUNDUP((Assumptions!$F$27/12),0),0)</f>
        <v>0</v>
      </c>
      <c r="L8" s="42">
        <f>+IF(AND(L7&gt;=Assumptions!$F$26,L7&lt;Assumptions!$F$28),Assumptions!$F$55/ROUNDUP((Assumptions!$F$27/12),0),0)</f>
        <v>0</v>
      </c>
      <c r="M8" s="42">
        <f>+IF(AND(M7&gt;=Assumptions!$F$26,M7&lt;Assumptions!$F$28),Assumptions!$F$55/ROUNDUP((Assumptions!$F$27/12),0),0)</f>
        <v>0</v>
      </c>
      <c r="N8" s="42">
        <f>+IF(AND(N7&gt;=Assumptions!$F$26,N7&lt;Assumptions!$F$28),Assumptions!$F$55/ROUNDUP((Assumptions!$F$27/12),0),0)</f>
        <v>0</v>
      </c>
      <c r="O8" s="42">
        <f>+IF(AND(O7&gt;=Assumptions!$F$26,O7&lt;Assumptions!$F$28),Assumptions!$F$55/ROUNDUP((Assumptions!$F$27/12),0),0)</f>
        <v>0</v>
      </c>
      <c r="P8" s="42">
        <f>+IF(AND(P7&gt;=Assumptions!$F$26,P7&lt;Assumptions!$F$28),Assumptions!$F$55/ROUNDUP((Assumptions!$F$27/12),0),0)</f>
        <v>0</v>
      </c>
      <c r="Q8" s="42">
        <f>+IF(AND(Q7&gt;=Assumptions!$F$26,Q7&lt;Assumptions!$F$28),Assumptions!$F$55/ROUNDUP((Assumptions!$F$27/12),0),0)</f>
        <v>0</v>
      </c>
      <c r="R8" s="42">
        <f>+IF(AND(R7&gt;=Assumptions!$F$26,R7&lt;Assumptions!$F$28),Assumptions!$F$55/ROUNDUP((Assumptions!$F$27/12),0),0)</f>
        <v>0</v>
      </c>
      <c r="S8" s="42">
        <f>+IF(AND(S7&gt;=Assumptions!$F$26,S7&lt;Assumptions!$F$28),Assumptions!$F$55/ROUNDUP((Assumptions!$F$27/12),0),0)</f>
        <v>0</v>
      </c>
      <c r="T8" s="42">
        <f>+IF(AND(T7&gt;=Assumptions!$F$26,T7&lt;Assumptions!$F$28),Assumptions!$F$55/ROUNDUP((Assumptions!$F$27/12),0),0)</f>
        <v>0</v>
      </c>
      <c r="U8" s="42">
        <f>+IF(AND(U7&gt;=Assumptions!$F$26,U7&lt;Assumptions!$F$28),Assumptions!$F$55/ROUNDUP((Assumptions!$F$27/12),0),0)</f>
        <v>0</v>
      </c>
      <c r="V8" s="42">
        <f>+IF(AND(V7&gt;=Assumptions!$F$26,V7&lt;Assumptions!$F$28),Assumptions!$F$55/ROUNDUP((Assumptions!$F$27/12),0),0)</f>
        <v>0</v>
      </c>
      <c r="W8" s="42">
        <f>+IF(AND(W7&gt;=Assumptions!$F$26,W7&lt;Assumptions!$F$28),Assumptions!$F$55/ROUNDUP((Assumptions!$F$27/12),0),0)</f>
        <v>0</v>
      </c>
      <c r="X8" s="42">
        <f>+IF(AND(X7&gt;=Assumptions!$F$26,X7&lt;Assumptions!$F$28),Assumptions!$F$55/ROUNDUP((Assumptions!$F$27/12),0),0)</f>
        <v>0</v>
      </c>
      <c r="Y8" s="42">
        <f>+IF(AND(Y7&gt;=Assumptions!$F$26,Y7&lt;Assumptions!$F$28),Assumptions!$F$55/ROUNDUP((Assumptions!$F$27/12),0),0)</f>
        <v>0</v>
      </c>
      <c r="Z8" s="42">
        <f>+IF(AND(Z7&gt;=Assumptions!$F$26,Z7&lt;Assumptions!$F$28),Assumptions!$F$55/ROUNDUP((Assumptions!$F$27/12),0),0)</f>
        <v>0</v>
      </c>
    </row>
    <row r="9" spans="1:26" x14ac:dyDescent="0.35">
      <c r="B9" s="33" t="s">
        <v>249</v>
      </c>
      <c r="C9" s="33"/>
      <c r="D9" s="42">
        <v>0</v>
      </c>
      <c r="E9" s="42"/>
      <c r="F9" s="42">
        <f>+D9+F8</f>
        <v>0</v>
      </c>
      <c r="G9" s="42">
        <f t="shared" ref="G9:Z9" si="3">+F9+G8</f>
        <v>0</v>
      </c>
      <c r="H9" s="42">
        <f t="shared" si="3"/>
        <v>0</v>
      </c>
      <c r="I9" s="42">
        <f t="shared" si="3"/>
        <v>54665.792569710728</v>
      </c>
      <c r="J9" s="42">
        <f t="shared" si="3"/>
        <v>109331.58513942146</v>
      </c>
      <c r="K9" s="42">
        <f t="shared" si="3"/>
        <v>109331.58513942146</v>
      </c>
      <c r="L9" s="42">
        <f t="shared" si="3"/>
        <v>109331.58513942146</v>
      </c>
      <c r="M9" s="42">
        <f t="shared" si="3"/>
        <v>109331.58513942146</v>
      </c>
      <c r="N9" s="42">
        <f t="shared" si="3"/>
        <v>109331.58513942146</v>
      </c>
      <c r="O9" s="42">
        <f t="shared" si="3"/>
        <v>109331.58513942146</v>
      </c>
      <c r="P9" s="42">
        <f t="shared" si="3"/>
        <v>109331.58513942146</v>
      </c>
      <c r="Q9" s="42">
        <f t="shared" si="3"/>
        <v>109331.58513942146</v>
      </c>
      <c r="R9" s="42">
        <f t="shared" si="3"/>
        <v>109331.58513942146</v>
      </c>
      <c r="S9" s="42">
        <f t="shared" si="3"/>
        <v>109331.58513942146</v>
      </c>
      <c r="T9" s="42">
        <f t="shared" si="3"/>
        <v>109331.58513942146</v>
      </c>
      <c r="U9" s="42">
        <f t="shared" si="3"/>
        <v>109331.58513942146</v>
      </c>
      <c r="V9" s="42">
        <f t="shared" si="3"/>
        <v>109331.58513942146</v>
      </c>
      <c r="W9" s="42">
        <f t="shared" si="3"/>
        <v>109331.58513942146</v>
      </c>
      <c r="X9" s="42">
        <f t="shared" si="3"/>
        <v>109331.58513942146</v>
      </c>
      <c r="Y9" s="42">
        <f t="shared" si="3"/>
        <v>109331.58513942146</v>
      </c>
      <c r="Z9" s="42">
        <f t="shared" si="3"/>
        <v>109331.58513942146</v>
      </c>
    </row>
    <row r="10" spans="1:26" x14ac:dyDescent="0.35">
      <c r="B10" s="33" t="s">
        <v>496</v>
      </c>
      <c r="C10" s="33"/>
      <c r="D10" s="42"/>
      <c r="E10" s="42"/>
      <c r="F10" s="42">
        <f>+F11-E11</f>
        <v>0</v>
      </c>
      <c r="G10" s="42">
        <f t="shared" ref="G10:Z10" si="4">+G11-F11</f>
        <v>0</v>
      </c>
      <c r="H10" s="42">
        <f t="shared" si="4"/>
        <v>0</v>
      </c>
      <c r="I10" s="42">
        <f t="shared" si="4"/>
        <v>74.792743470376962</v>
      </c>
      <c r="J10" s="42">
        <f t="shared" si="4"/>
        <v>74.792743470376962</v>
      </c>
      <c r="K10" s="42">
        <f t="shared" si="4"/>
        <v>0</v>
      </c>
      <c r="L10" s="42">
        <f t="shared" si="4"/>
        <v>0</v>
      </c>
      <c r="M10" s="42">
        <f t="shared" si="4"/>
        <v>0</v>
      </c>
      <c r="N10" s="42">
        <f t="shared" si="4"/>
        <v>0</v>
      </c>
      <c r="O10" s="42">
        <f t="shared" si="4"/>
        <v>0</v>
      </c>
      <c r="P10" s="42">
        <f t="shared" si="4"/>
        <v>0</v>
      </c>
      <c r="Q10" s="42">
        <f t="shared" si="4"/>
        <v>0</v>
      </c>
      <c r="R10" s="42">
        <f t="shared" si="4"/>
        <v>0</v>
      </c>
      <c r="S10" s="42">
        <f t="shared" si="4"/>
        <v>0</v>
      </c>
      <c r="T10" s="42">
        <f t="shared" si="4"/>
        <v>0</v>
      </c>
      <c r="U10" s="42">
        <f t="shared" si="4"/>
        <v>0</v>
      </c>
      <c r="V10" s="42">
        <f t="shared" si="4"/>
        <v>0</v>
      </c>
      <c r="W10" s="42">
        <f t="shared" si="4"/>
        <v>0</v>
      </c>
      <c r="X10" s="42">
        <f t="shared" si="4"/>
        <v>0</v>
      </c>
      <c r="Y10" s="42">
        <f t="shared" si="4"/>
        <v>0</v>
      </c>
      <c r="Z10" s="42">
        <f t="shared" si="4"/>
        <v>0</v>
      </c>
    </row>
    <row r="11" spans="1:26" x14ac:dyDescent="0.35">
      <c r="B11" s="33" t="s">
        <v>250</v>
      </c>
      <c r="C11" s="33"/>
      <c r="D11" s="42"/>
      <c r="E11" s="42"/>
      <c r="F11" s="42">
        <f>+F12*Assumptions!$F$56</f>
        <v>0</v>
      </c>
      <c r="G11" s="42">
        <f>+G12*Assumptions!$F$56</f>
        <v>0</v>
      </c>
      <c r="H11" s="42">
        <f>+H12*Assumptions!$F$56</f>
        <v>0</v>
      </c>
      <c r="I11" s="42">
        <f>+I12*Assumptions!$F$56</f>
        <v>74.792743470376962</v>
      </c>
      <c r="J11" s="42">
        <f>+J12*Assumptions!$F$56</f>
        <v>149.58548694075392</v>
      </c>
      <c r="K11" s="42">
        <f>+K12*Assumptions!$F$56</f>
        <v>149.58548694075392</v>
      </c>
      <c r="L11" s="42">
        <f>+L12*Assumptions!$F$56</f>
        <v>149.58548694075392</v>
      </c>
      <c r="M11" s="42">
        <f>+M12*Assumptions!$F$56</f>
        <v>149.58548694075392</v>
      </c>
      <c r="N11" s="42">
        <f>+N12*Assumptions!$F$56</f>
        <v>149.58548694075392</v>
      </c>
      <c r="O11" s="42">
        <f>+O12*Assumptions!$F$56</f>
        <v>149.58548694075392</v>
      </c>
      <c r="P11" s="42">
        <f>+P12*Assumptions!$F$56</f>
        <v>149.58548694075392</v>
      </c>
      <c r="Q11" s="42">
        <f>+Q12*Assumptions!$F$56</f>
        <v>149.58548694075392</v>
      </c>
      <c r="R11" s="42">
        <f>+R12*Assumptions!$F$56</f>
        <v>149.58548694075392</v>
      </c>
      <c r="S11" s="42">
        <f>+S12*Assumptions!$F$56</f>
        <v>149.58548694075392</v>
      </c>
      <c r="T11" s="42">
        <f>+T12*Assumptions!$F$56</f>
        <v>149.58548694075392</v>
      </c>
      <c r="U11" s="42">
        <f>+U12*Assumptions!$F$56</f>
        <v>149.58548694075392</v>
      </c>
      <c r="V11" s="42">
        <f>+V12*Assumptions!$F$56</f>
        <v>149.58548694075392</v>
      </c>
      <c r="W11" s="42">
        <f>+W12*Assumptions!$F$56</f>
        <v>149.58548694075392</v>
      </c>
      <c r="X11" s="42">
        <f>+X12*Assumptions!$F$56</f>
        <v>149.58548694075392</v>
      </c>
      <c r="Y11" s="42">
        <f>+Y12*Assumptions!$F$56</f>
        <v>149.58548694075392</v>
      </c>
      <c r="Z11" s="42">
        <f>+Z12*Assumptions!$F$56</f>
        <v>149.58548694075392</v>
      </c>
    </row>
    <row r="12" spans="1:26" x14ac:dyDescent="0.35">
      <c r="B12" s="33" t="s">
        <v>306</v>
      </c>
      <c r="C12" s="33"/>
      <c r="D12" s="42"/>
      <c r="E12" s="42"/>
      <c r="F12" s="108">
        <f t="shared" ref="F12:Z12" si="5">+F9/SUM($F$8:$Z$8)</f>
        <v>0</v>
      </c>
      <c r="G12" s="108">
        <f t="shared" si="5"/>
        <v>0</v>
      </c>
      <c r="H12" s="108">
        <f t="shared" si="5"/>
        <v>0</v>
      </c>
      <c r="I12" s="108">
        <f t="shared" si="5"/>
        <v>0.5</v>
      </c>
      <c r="J12" s="108">
        <f t="shared" si="5"/>
        <v>1</v>
      </c>
      <c r="K12" s="108">
        <f t="shared" si="5"/>
        <v>1</v>
      </c>
      <c r="L12" s="108">
        <f t="shared" si="5"/>
        <v>1</v>
      </c>
      <c r="M12" s="108">
        <f t="shared" si="5"/>
        <v>1</v>
      </c>
      <c r="N12" s="108">
        <f t="shared" si="5"/>
        <v>1</v>
      </c>
      <c r="O12" s="108">
        <f t="shared" si="5"/>
        <v>1</v>
      </c>
      <c r="P12" s="108">
        <f t="shared" si="5"/>
        <v>1</v>
      </c>
      <c r="Q12" s="108">
        <f t="shared" si="5"/>
        <v>1</v>
      </c>
      <c r="R12" s="108">
        <f t="shared" si="5"/>
        <v>1</v>
      </c>
      <c r="S12" s="108">
        <f t="shared" si="5"/>
        <v>1</v>
      </c>
      <c r="T12" s="108">
        <f t="shared" si="5"/>
        <v>1</v>
      </c>
      <c r="U12" s="108">
        <f t="shared" si="5"/>
        <v>1</v>
      </c>
      <c r="V12" s="108">
        <f t="shared" si="5"/>
        <v>1</v>
      </c>
      <c r="W12" s="108">
        <f t="shared" si="5"/>
        <v>1</v>
      </c>
      <c r="X12" s="108">
        <f t="shared" si="5"/>
        <v>1</v>
      </c>
      <c r="Y12" s="108">
        <f t="shared" si="5"/>
        <v>1</v>
      </c>
      <c r="Z12" s="108">
        <f t="shared" si="5"/>
        <v>1</v>
      </c>
    </row>
    <row r="13" spans="1:26" x14ac:dyDescent="0.35">
      <c r="B13" s="33"/>
      <c r="C13" s="33"/>
      <c r="D13" s="42"/>
      <c r="E13" s="42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x14ac:dyDescent="0.35">
      <c r="B14" s="33" t="s">
        <v>254</v>
      </c>
      <c r="C14" s="33"/>
      <c r="D14" s="42"/>
      <c r="E14" s="42"/>
      <c r="F14" s="108">
        <v>1</v>
      </c>
      <c r="G14" s="108">
        <f>+F14*(1+Assumptions!$N$63)</f>
        <v>1.02</v>
      </c>
      <c r="H14" s="108">
        <f>+G14*(1+Assumptions!$N$63)</f>
        <v>1.0404</v>
      </c>
      <c r="I14" s="108">
        <f>+H14*(1+Assumptions!$N$63)</f>
        <v>1.0612079999999999</v>
      </c>
      <c r="J14" s="108">
        <f>+I14*(1+Assumptions!$N$63)</f>
        <v>1.08243216</v>
      </c>
      <c r="K14" s="108">
        <f>+J14*(1+Assumptions!$N$63)</f>
        <v>1.1040808032</v>
      </c>
      <c r="L14" s="108">
        <f>+K14*(1+Assumptions!$N$63)</f>
        <v>1.1261624192640001</v>
      </c>
      <c r="M14" s="108">
        <f>+L14*(1+Assumptions!$N$63)</f>
        <v>1.14868566764928</v>
      </c>
      <c r="N14" s="108">
        <f>+M14*(1+Assumptions!$N$63)</f>
        <v>1.1716593810022657</v>
      </c>
      <c r="O14" s="108">
        <f>+N14*(1+Assumptions!$N$63)</f>
        <v>1.1950925686223111</v>
      </c>
      <c r="P14" s="108">
        <f>+O14*(1+Assumptions!$N$63)</f>
        <v>1.2189944199947573</v>
      </c>
      <c r="Q14" s="108">
        <f>+P14*(1+Assumptions!$N$63)</f>
        <v>1.2433743083946525</v>
      </c>
      <c r="R14" s="108">
        <f>+Q14*(1+Assumptions!$N$63)</f>
        <v>1.2682417945625455</v>
      </c>
      <c r="S14" s="108">
        <f>+R14*(1+Assumptions!$N$63)</f>
        <v>1.2936066304537963</v>
      </c>
      <c r="T14" s="108">
        <f>+S14*(1+Assumptions!$N$63)</f>
        <v>1.3194787630628724</v>
      </c>
      <c r="U14" s="108">
        <f>+T14*(1+Assumptions!$N$63)</f>
        <v>1.3458683383241299</v>
      </c>
      <c r="V14" s="108">
        <f>+U14*(1+Assumptions!$N$63)</f>
        <v>1.3727857050906125</v>
      </c>
      <c r="W14" s="108">
        <f>+V14*(1+Assumptions!$N$63)</f>
        <v>1.4002414191924248</v>
      </c>
      <c r="X14" s="108">
        <f>+W14*(1+Assumptions!$N$63)</f>
        <v>1.4282462475762734</v>
      </c>
      <c r="Y14" s="108">
        <f>+X14*(1+Assumptions!$N$63)</f>
        <v>1.4568111725277988</v>
      </c>
      <c r="Z14" s="108">
        <f>+Y14*(1+Assumptions!$N$63)</f>
        <v>1.4859473959783549</v>
      </c>
    </row>
    <row r="15" spans="1:26" x14ac:dyDescent="0.35">
      <c r="B15" s="33" t="s">
        <v>255</v>
      </c>
      <c r="C15" s="33"/>
      <c r="D15" s="42"/>
      <c r="E15" s="42"/>
      <c r="F15" s="108">
        <v>1</v>
      </c>
      <c r="G15" s="108">
        <f>+F15*(1+Assumptions!$N$76)</f>
        <v>1.03</v>
      </c>
      <c r="H15" s="108">
        <f>+G15*(1+Assumptions!$N$76)</f>
        <v>1.0609</v>
      </c>
      <c r="I15" s="108">
        <f>+H15*(1+Assumptions!$N$76)</f>
        <v>1.092727</v>
      </c>
      <c r="J15" s="108">
        <f>+I15*(1+Assumptions!$N$76)</f>
        <v>1.1255088100000001</v>
      </c>
      <c r="K15" s="108">
        <f>+J15*(1+Assumptions!$N$76)</f>
        <v>1.1592740743000001</v>
      </c>
      <c r="L15" s="108">
        <f>+K15*(1+Assumptions!$N$76)</f>
        <v>1.1940522965290001</v>
      </c>
      <c r="M15" s="108">
        <f>+L15*(1+Assumptions!$N$76)</f>
        <v>1.2298738654248702</v>
      </c>
      <c r="N15" s="108">
        <f>+M15*(1+Assumptions!$N$76)</f>
        <v>1.2667700813876164</v>
      </c>
      <c r="O15" s="108">
        <f>+N15*(1+Assumptions!$N$76)</f>
        <v>1.3047731838292449</v>
      </c>
      <c r="P15" s="108">
        <f>+O15*(1+Assumptions!$N$76)</f>
        <v>1.3439163793441222</v>
      </c>
      <c r="Q15" s="108">
        <f>+P15*(1+Assumptions!$N$76)</f>
        <v>1.3842338707244459</v>
      </c>
      <c r="R15" s="108">
        <f>+Q15*(1+Assumptions!$N$76)</f>
        <v>1.4257608868461793</v>
      </c>
      <c r="S15" s="108">
        <f>+R15*(1+Assumptions!$N$76)</f>
        <v>1.4685337134515648</v>
      </c>
      <c r="T15" s="108">
        <f>+S15*(1+Assumptions!$N$76)</f>
        <v>1.5125897248551119</v>
      </c>
      <c r="U15" s="108">
        <f>+T15*(1+Assumptions!$N$76)</f>
        <v>1.5579674166007653</v>
      </c>
      <c r="V15" s="108">
        <f>+U15*(1+Assumptions!$N$76)</f>
        <v>1.6047064390987884</v>
      </c>
      <c r="W15" s="108">
        <f>+V15*(1+Assumptions!$N$76)</f>
        <v>1.652847632271752</v>
      </c>
      <c r="X15" s="108">
        <f>+W15*(1+Assumptions!$N$76)</f>
        <v>1.7024330612399046</v>
      </c>
      <c r="Y15" s="108">
        <f>+X15*(1+Assumptions!$N$76)</f>
        <v>1.7535060530771018</v>
      </c>
      <c r="Z15" s="108">
        <f>+Y15*(1+Assumptions!$N$76)</f>
        <v>1.806111234669415</v>
      </c>
    </row>
    <row r="16" spans="1:26" x14ac:dyDescent="0.35">
      <c r="B16" s="33"/>
      <c r="C16" s="33"/>
      <c r="D16" s="40"/>
      <c r="E16" s="40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2:26" x14ac:dyDescent="0.35">
      <c r="B17" s="33" t="s">
        <v>246</v>
      </c>
      <c r="C17" s="33"/>
      <c r="D17" s="40"/>
      <c r="E17" s="40"/>
      <c r="F17" s="34">
        <f>+F12*Assumptions!$F$54*F14</f>
        <v>0</v>
      </c>
      <c r="G17" s="34">
        <f>+G12*Assumptions!$F$54*G14</f>
        <v>0</v>
      </c>
      <c r="H17" s="34">
        <f>+H12*Assumptions!$F$54*H14</f>
        <v>0</v>
      </c>
      <c r="I17" s="34">
        <f>+I12*Assumptions!$F$54*I14</f>
        <v>703879.03302817582</v>
      </c>
      <c r="J17" s="34">
        <f>+J12*Assumptions!$F$54*J14</f>
        <v>1435913.2273774787</v>
      </c>
      <c r="K17" s="34">
        <f>+K12*Assumptions!$F$54*K14</f>
        <v>1464631.4919250284</v>
      </c>
      <c r="L17" s="34">
        <f>+L12*Assumptions!$F$54*L14</f>
        <v>1493924.121763529</v>
      </c>
      <c r="M17" s="34">
        <f>+M12*Assumptions!$F$54*M14</f>
        <v>1523802.6041987997</v>
      </c>
      <c r="N17" s="34">
        <f>+N12*Assumptions!$F$54*N14</f>
        <v>1554278.6562827758</v>
      </c>
      <c r="O17" s="34">
        <f>+O12*Assumptions!$F$54*O14</f>
        <v>1585364.2294084313</v>
      </c>
      <c r="P17" s="34">
        <f>+P12*Assumptions!$F$54*P14</f>
        <v>1617071.5139965999</v>
      </c>
      <c r="Q17" s="34">
        <f>+Q12*Assumptions!$F$54*Q14</f>
        <v>1649412.9442765319</v>
      </c>
      <c r="R17" s="34">
        <f>+R12*Assumptions!$F$54*R14</f>
        <v>1682401.2031620627</v>
      </c>
      <c r="S17" s="34">
        <f>+S12*Assumptions!$F$54*S14</f>
        <v>1716049.2272253036</v>
      </c>
      <c r="T17" s="34">
        <f>+T12*Assumptions!$F$54*T14</f>
        <v>1750370.2117698099</v>
      </c>
      <c r="U17" s="34">
        <f>+U12*Assumptions!$F$54*U14</f>
        <v>1785377.6160052062</v>
      </c>
      <c r="V17" s="34">
        <f>+V12*Assumptions!$F$54*V14</f>
        <v>1821085.1683253103</v>
      </c>
      <c r="W17" s="34">
        <f>+W12*Assumptions!$F$54*W14</f>
        <v>1857506.8716918167</v>
      </c>
      <c r="X17" s="34">
        <f>+X12*Assumptions!$F$54*X14</f>
        <v>1894657.0091256532</v>
      </c>
      <c r="Y17" s="34">
        <f>+Y12*Assumptions!$F$54*Y14</f>
        <v>1932550.149308166</v>
      </c>
      <c r="Z17" s="34">
        <f>+Z12*Assumptions!$F$54*Z14</f>
        <v>1971201.1522943296</v>
      </c>
    </row>
    <row r="18" spans="2:26" x14ac:dyDescent="0.35">
      <c r="B18" s="33" t="s">
        <v>247</v>
      </c>
      <c r="C18" s="33"/>
      <c r="D18" s="40"/>
      <c r="E18" s="40"/>
      <c r="F18" s="42">
        <f>-F17*Assumptions!$N$54</f>
        <v>0</v>
      </c>
      <c r="G18" s="42">
        <f>-G17*Assumptions!$N$54</f>
        <v>0</v>
      </c>
      <c r="H18" s="42">
        <f>-H17*Assumptions!$N$54</f>
        <v>0</v>
      </c>
      <c r="I18" s="42">
        <f>-I17*Assumptions!$N$54</f>
        <v>-21116.370990845273</v>
      </c>
      <c r="J18" s="42">
        <f>-J17*Assumptions!$N$54</f>
        <v>-43077.396821324357</v>
      </c>
      <c r="K18" s="42">
        <f>-K17*Assumptions!$N$54</f>
        <v>-43938.944757750847</v>
      </c>
      <c r="L18" s="42">
        <f>-L17*Assumptions!$N$54</f>
        <v>-44817.723652905872</v>
      </c>
      <c r="M18" s="42">
        <f>-M17*Assumptions!$N$54</f>
        <v>-45714.078125963992</v>
      </c>
      <c r="N18" s="42">
        <f>-N17*Assumptions!$N$54</f>
        <v>-46628.359688483273</v>
      </c>
      <c r="O18" s="42">
        <f>-O17*Assumptions!$N$54</f>
        <v>-47560.926882252941</v>
      </c>
      <c r="P18" s="42">
        <f>-P17*Assumptions!$N$54</f>
        <v>-48512.145419897999</v>
      </c>
      <c r="Q18" s="42">
        <f>-Q17*Assumptions!$N$54</f>
        <v>-49482.388328295958</v>
      </c>
      <c r="R18" s="42">
        <f>-R17*Assumptions!$N$54</f>
        <v>-50472.036094861876</v>
      </c>
      <c r="S18" s="42">
        <f>-S17*Assumptions!$N$54</f>
        <v>-51481.47681675911</v>
      </c>
      <c r="T18" s="42">
        <f>-T17*Assumptions!$N$54</f>
        <v>-52511.106353094299</v>
      </c>
      <c r="U18" s="42">
        <f>-U17*Assumptions!$N$54</f>
        <v>-53561.328480156182</v>
      </c>
      <c r="V18" s="42">
        <f>-V17*Assumptions!$N$54</f>
        <v>-54632.555049759307</v>
      </c>
      <c r="W18" s="42">
        <f>-W17*Assumptions!$N$54</f>
        <v>-55725.2061507545</v>
      </c>
      <c r="X18" s="42">
        <f>-X17*Assumptions!$N$54</f>
        <v>-56839.710273769597</v>
      </c>
      <c r="Y18" s="42">
        <f>-Y17*Assumptions!$N$54</f>
        <v>-57976.504479244977</v>
      </c>
      <c r="Z18" s="42">
        <f>-Z17*Assumptions!$N$54</f>
        <v>-59136.034568829884</v>
      </c>
    </row>
    <row r="19" spans="2:26" x14ac:dyDescent="0.35">
      <c r="B19" s="33" t="s">
        <v>385</v>
      </c>
      <c r="C19" s="33"/>
      <c r="D19" s="40"/>
      <c r="E19" s="40"/>
      <c r="F19" s="151">
        <f>+F11*Assumptions!$F$89*(1-Assumptions!$N$54)*12</f>
        <v>0</v>
      </c>
      <c r="G19" s="151">
        <f>+G11*Assumptions!$F$89*(1-Assumptions!$N$54)*12</f>
        <v>0</v>
      </c>
      <c r="H19" s="151">
        <f>+H11*Assumptions!$F$89*(1-Assumptions!$N$54)*12</f>
        <v>0</v>
      </c>
      <c r="I19" s="151">
        <f>+I11*Assumptions!$F$89*(1-Assumptions!$N$54)*12</f>
        <v>4352.9376699759396</v>
      </c>
      <c r="J19" s="151">
        <f>+J11*Assumptions!$F$89*(1-Assumptions!$N$54)*12</f>
        <v>8705.8753399518791</v>
      </c>
      <c r="K19" s="151">
        <f>+K11*Assumptions!$F$89*(1-Assumptions!$N$54)*12</f>
        <v>8705.8753399518791</v>
      </c>
      <c r="L19" s="151">
        <f>+L11*Assumptions!$F$89*(1-Assumptions!$N$54)*12</f>
        <v>8705.8753399518791</v>
      </c>
      <c r="M19" s="151">
        <f>+M11*Assumptions!$F$89*(1-Assumptions!$N$54)*12</f>
        <v>8705.8753399518791</v>
      </c>
      <c r="N19" s="151">
        <f>+N11*Assumptions!$F$89*(1-Assumptions!$N$54)*12</f>
        <v>8705.8753399518791</v>
      </c>
      <c r="O19" s="151">
        <f>+O11*Assumptions!$F$89*(1-Assumptions!$N$54)*12</f>
        <v>8705.8753399518791</v>
      </c>
      <c r="P19" s="151">
        <f>+P11*Assumptions!$F$89*(1-Assumptions!$N$54)*12</f>
        <v>8705.8753399518791</v>
      </c>
      <c r="Q19" s="151">
        <f>+Q11*Assumptions!$F$89*(1-Assumptions!$N$54)*12</f>
        <v>8705.8753399518791</v>
      </c>
      <c r="R19" s="151">
        <f>+R11*Assumptions!$F$89*(1-Assumptions!$N$54)*12</f>
        <v>8705.8753399518791</v>
      </c>
      <c r="S19" s="151">
        <f>+S11*Assumptions!$F$89*(1-Assumptions!$N$54)*12</f>
        <v>8705.8753399518791</v>
      </c>
      <c r="T19" s="151">
        <f>+T11*Assumptions!$F$89*(1-Assumptions!$N$54)*12</f>
        <v>8705.8753399518791</v>
      </c>
      <c r="U19" s="151">
        <f>+U11*Assumptions!$F$89*(1-Assumptions!$N$54)*12</f>
        <v>8705.8753399518791</v>
      </c>
      <c r="V19" s="151">
        <f>+V11*Assumptions!$F$89*(1-Assumptions!$N$54)*12</f>
        <v>8705.8753399518791</v>
      </c>
      <c r="W19" s="151">
        <f>+W11*Assumptions!$F$89*(1-Assumptions!$N$54)*12</f>
        <v>8705.8753399518791</v>
      </c>
      <c r="X19" s="151">
        <f>+X11*Assumptions!$F$89*(1-Assumptions!$N$54)*12</f>
        <v>8705.8753399518791</v>
      </c>
      <c r="Y19" s="151">
        <f>+Y11*Assumptions!$F$89*(1-Assumptions!$N$54)*12</f>
        <v>8705.8753399518791</v>
      </c>
      <c r="Z19" s="151">
        <f>+Z11*Assumptions!$F$89*(1-Assumptions!$N$54)*12</f>
        <v>8705.8753399518791</v>
      </c>
    </row>
    <row r="20" spans="2:26" x14ac:dyDescent="0.35">
      <c r="B20" s="137" t="s">
        <v>256</v>
      </c>
      <c r="C20" s="137"/>
      <c r="D20" s="137"/>
      <c r="E20" s="137"/>
      <c r="F20" s="129">
        <f t="shared" ref="F20:Z20" si="6">+SUM(F17:F19)</f>
        <v>0</v>
      </c>
      <c r="G20" s="129">
        <f t="shared" si="6"/>
        <v>0</v>
      </c>
      <c r="H20" s="129">
        <f t="shared" si="6"/>
        <v>0</v>
      </c>
      <c r="I20" s="129">
        <f t="shared" si="6"/>
        <v>687115.59970730648</v>
      </c>
      <c r="J20" s="129">
        <f t="shared" si="6"/>
        <v>1401541.7058961063</v>
      </c>
      <c r="K20" s="129">
        <f t="shared" si="6"/>
        <v>1429398.4225072293</v>
      </c>
      <c r="L20" s="129">
        <f t="shared" si="6"/>
        <v>1457812.2734505751</v>
      </c>
      <c r="M20" s="129">
        <f t="shared" si="6"/>
        <v>1486794.4014127876</v>
      </c>
      <c r="N20" s="129">
        <f t="shared" si="6"/>
        <v>1516356.1719342445</v>
      </c>
      <c r="O20" s="129">
        <f t="shared" si="6"/>
        <v>1546509.1778661301</v>
      </c>
      <c r="P20" s="129">
        <f t="shared" si="6"/>
        <v>1577265.2439166538</v>
      </c>
      <c r="Q20" s="129">
        <f t="shared" si="6"/>
        <v>1608636.4312881879</v>
      </c>
      <c r="R20" s="129">
        <f t="shared" si="6"/>
        <v>1640635.0424071527</v>
      </c>
      <c r="S20" s="129">
        <f t="shared" si="6"/>
        <v>1673273.6257484963</v>
      </c>
      <c r="T20" s="129">
        <f t="shared" si="6"/>
        <v>1706564.9807566674</v>
      </c>
      <c r="U20" s="129">
        <f t="shared" si="6"/>
        <v>1740522.1628650019</v>
      </c>
      <c r="V20" s="129">
        <f t="shared" si="6"/>
        <v>1775158.4886155028</v>
      </c>
      <c r="W20" s="129">
        <f t="shared" si="6"/>
        <v>1810487.540881014</v>
      </c>
      <c r="X20" s="129">
        <f t="shared" si="6"/>
        <v>1846523.1741918353</v>
      </c>
      <c r="Y20" s="129">
        <f t="shared" si="6"/>
        <v>1883279.5201688728</v>
      </c>
      <c r="Z20" s="129">
        <f t="shared" si="6"/>
        <v>1920770.9930654515</v>
      </c>
    </row>
    <row r="22" spans="2:26" x14ac:dyDescent="0.35">
      <c r="B22" s="33" t="s">
        <v>395</v>
      </c>
      <c r="F22" s="34">
        <f>+F11*Assumptions!$N$95*F15</f>
        <v>0</v>
      </c>
      <c r="G22" s="34">
        <f>+G11*Assumptions!$N$95*G15</f>
        <v>0</v>
      </c>
      <c r="H22" s="34">
        <f>+H11*Assumptions!$N$95*H15</f>
        <v>0</v>
      </c>
      <c r="I22" s="34">
        <f>+I11*Assumptions!$N$95*I15</f>
        <v>474022.6911260967</v>
      </c>
      <c r="J22" s="34">
        <f>+J11*Assumptions!$N$95*J15</f>
        <v>976486.7437197594</v>
      </c>
      <c r="K22" s="34">
        <f>+K11*Assumptions!$N$95*K15</f>
        <v>1005781.3460313521</v>
      </c>
      <c r="L22" s="34">
        <f>+L11*Assumptions!$N$95*L15</f>
        <v>1035954.7864122927</v>
      </c>
      <c r="M22" s="34">
        <f>+M11*Assumptions!$N$95*M15</f>
        <v>1067033.4300046614</v>
      </c>
      <c r="N22" s="34">
        <f>+N11*Assumptions!$N$95*N15</f>
        <v>1099044.4329048013</v>
      </c>
      <c r="O22" s="34">
        <f>+O11*Assumptions!$N$95*O15</f>
        <v>1132015.7658919455</v>
      </c>
      <c r="P22" s="34">
        <f>+P11*Assumptions!$N$95*P15</f>
        <v>1165976.2388687038</v>
      </c>
      <c r="Q22" s="34">
        <f>+Q11*Assumptions!$N$95*Q15</f>
        <v>1200955.5260347649</v>
      </c>
      <c r="R22" s="34">
        <f>+R11*Assumptions!$N$95*R15</f>
        <v>1236984.1918158079</v>
      </c>
      <c r="S22" s="34">
        <f>+S11*Assumptions!$N$95*S15</f>
        <v>1274093.7175702823</v>
      </c>
      <c r="T22" s="34">
        <f>+T11*Assumptions!$N$95*T15</f>
        <v>1312316.5290973908</v>
      </c>
      <c r="U22" s="34">
        <f>+U11*Assumptions!$N$95*U15</f>
        <v>1351686.0249703126</v>
      </c>
      <c r="V22" s="34">
        <f>+V11*Assumptions!$N$95*V15</f>
        <v>1392236.6057194222</v>
      </c>
      <c r="W22" s="34">
        <f>+W11*Assumptions!$N$95*W15</f>
        <v>1434003.7038910049</v>
      </c>
      <c r="X22" s="34">
        <f>+X11*Assumptions!$N$95*X15</f>
        <v>1477023.8150077348</v>
      </c>
      <c r="Y22" s="34">
        <f>+Y11*Assumptions!$N$95*Y15</f>
        <v>1521334.529457967</v>
      </c>
      <c r="Z22" s="34">
        <f>+Z11*Assumptions!$N$95*Z15</f>
        <v>1566974.5653417062</v>
      </c>
    </row>
    <row r="23" spans="2:26" x14ac:dyDescent="0.35">
      <c r="B23" s="33" t="s">
        <v>331</v>
      </c>
      <c r="F23" s="151">
        <f ca="1">+IFERROR(INDEX('Taxes and TIF'!$R$11:$R$45,MATCH('Phase I Pro Forma'!F$7,'Taxes and TIF'!$AC$11:$AC$45,0)),0)*'Loan Sizing'!$J$15*F12</f>
        <v>0</v>
      </c>
      <c r="G23" s="151">
        <f ca="1">+IFERROR(INDEX('Taxes and TIF'!$R$11:$R$45,MATCH('Phase I Pro Forma'!G$7,'Taxes and TIF'!$AC$11:$AC$45,0)),0)*'Loan Sizing'!$J$15*G12</f>
        <v>0</v>
      </c>
      <c r="H23" s="151">
        <f ca="1">+IFERROR(INDEX('Taxes and TIF'!$R$11:$R$45,MATCH('Phase I Pro Forma'!H$7,'Taxes and TIF'!$AC$11:$AC$45,0)),0)*'Loan Sizing'!$J$15*H12</f>
        <v>0</v>
      </c>
      <c r="I23" s="151">
        <f ca="1">+IFERROR(INDEX('Taxes and TIF'!$R$11:$R$45,MATCH('Phase I Pro Forma'!I$7,'Taxes and TIF'!$AC$11:$AC$45,0)),0)*'Loan Sizing'!$J$15*I12</f>
        <v>0</v>
      </c>
      <c r="J23" s="151">
        <f ca="1">+IFERROR(INDEX('Taxes and TIF'!$R$11:$R$45,MATCH('Phase I Pro Forma'!J$7,'Taxes and TIF'!$AC$11:$AC$45,0)),0)*'Loan Sizing'!$J$15*J12</f>
        <v>0</v>
      </c>
      <c r="K23" s="151">
        <f ca="1">+IFERROR(INDEX('Taxes and TIF'!$R$11:$R$45,MATCH('Phase I Pro Forma'!K$7,'Taxes and TIF'!$AC$11:$AC$45,0)),0)*'Loan Sizing'!$J$15*K12</f>
        <v>0</v>
      </c>
      <c r="L23" s="151">
        <f ca="1">+IFERROR(INDEX('Taxes and TIF'!$R$11:$R$45,MATCH('Phase I Pro Forma'!L$7,'Taxes and TIF'!$AC$11:$AC$45,0)),0)*'Loan Sizing'!$J$15*L12</f>
        <v>0</v>
      </c>
      <c r="M23" s="151">
        <f ca="1">+IFERROR(INDEX('Taxes and TIF'!$R$11:$R$45,MATCH('Phase I Pro Forma'!M$7,'Taxes and TIF'!$AC$11:$AC$45,0)),0)*'Loan Sizing'!$J$15*M12</f>
        <v>0</v>
      </c>
      <c r="N23" s="151">
        <f ca="1">+IFERROR(INDEX('Taxes and TIF'!$R$11:$R$45,MATCH('Phase I Pro Forma'!N$7,'Taxes and TIF'!$AC$11:$AC$45,0)),0)*'Loan Sizing'!$J$15*N12</f>
        <v>0</v>
      </c>
      <c r="O23" s="151">
        <f ca="1">+IFERROR(INDEX('Taxes and TIF'!$R$11:$R$45,MATCH('Phase I Pro Forma'!O$7,'Taxes and TIF'!$AC$11:$AC$45,0)),0)*'Loan Sizing'!$J$15*O12</f>
        <v>0</v>
      </c>
      <c r="P23" s="151">
        <f ca="1">+IFERROR(INDEX('Taxes and TIF'!$R$11:$R$45,MATCH('Phase I Pro Forma'!P$7,'Taxes and TIF'!$AC$11:$AC$45,0)),0)*'Loan Sizing'!$J$15*P12</f>
        <v>0</v>
      </c>
      <c r="Q23" s="151">
        <f ca="1">+IFERROR(INDEX('Taxes and TIF'!$R$11:$R$45,MATCH('Phase I Pro Forma'!Q$7,'Taxes and TIF'!$AC$11:$AC$45,0)),0)*'Loan Sizing'!$J$15*Q12</f>
        <v>0</v>
      </c>
      <c r="R23" s="151">
        <f ca="1">+IFERROR(INDEX('Taxes and TIF'!$R$11:$R$45,MATCH('Phase I Pro Forma'!R$7,'Taxes and TIF'!$AC$11:$AC$45,0)),0)*'Loan Sizing'!$J$15*R12</f>
        <v>0</v>
      </c>
      <c r="S23" s="151">
        <f ca="1">+IFERROR(INDEX('Taxes and TIF'!$R$11:$R$45,MATCH('Phase I Pro Forma'!S$7,'Taxes and TIF'!$AC$11:$AC$45,0)),0)*'Loan Sizing'!$J$15*S12</f>
        <v>0</v>
      </c>
      <c r="T23" s="151">
        <f ca="1">+IFERROR(INDEX('Taxes and TIF'!$R$11:$R$45,MATCH('Phase I Pro Forma'!T$7,'Taxes and TIF'!$AC$11:$AC$45,0)),0)*'Loan Sizing'!$J$15*T12</f>
        <v>0</v>
      </c>
      <c r="U23" s="151">
        <f ca="1">+IFERROR(INDEX('Taxes and TIF'!$R$11:$R$45,MATCH('Phase I Pro Forma'!U$7,'Taxes and TIF'!$AC$11:$AC$45,0)),0)*'Loan Sizing'!$J$15*U12</f>
        <v>0</v>
      </c>
      <c r="V23" s="151">
        <f ca="1">+IFERROR(INDEX('Taxes and TIF'!$R$11:$R$45,MATCH('Phase I Pro Forma'!V$7,'Taxes and TIF'!$AC$11:$AC$45,0)),0)*'Loan Sizing'!$J$15*V12</f>
        <v>0</v>
      </c>
      <c r="W23" s="151">
        <f ca="1">+IFERROR(INDEX('Taxes and TIF'!$R$11:$R$45,MATCH('Phase I Pro Forma'!W$7,'Taxes and TIF'!$AC$11:$AC$45,0)),0)*'Loan Sizing'!$J$15*W12</f>
        <v>0</v>
      </c>
      <c r="X23" s="151">
        <f ca="1">+IFERROR(INDEX('Taxes and TIF'!$R$11:$R$45,MATCH('Phase I Pro Forma'!X$7,'Taxes and TIF'!$AC$11:$AC$45,0)),0)*'Loan Sizing'!$J$15*X12</f>
        <v>0</v>
      </c>
      <c r="Y23" s="151">
        <f ca="1">+IFERROR(INDEX('Taxes and TIF'!$R$11:$R$45,MATCH('Phase I Pro Forma'!Y$7,'Taxes and TIF'!$AC$11:$AC$45,0)),0)*'Loan Sizing'!$J$15*Y12</f>
        <v>0</v>
      </c>
      <c r="Z23" s="151">
        <f ca="1">+IFERROR(INDEX('Taxes and TIF'!$R$11:$R$45,MATCH('Phase I Pro Forma'!Z$7,'Taxes and TIF'!$AC$11:$AC$45,0)),0)*'Loan Sizing'!$J$15*Z12</f>
        <v>0</v>
      </c>
    </row>
    <row r="24" spans="2:26" x14ac:dyDescent="0.35">
      <c r="B24" s="137" t="s">
        <v>252</v>
      </c>
      <c r="C24" s="137"/>
      <c r="D24" s="137"/>
      <c r="E24" s="137"/>
      <c r="F24" s="129">
        <f t="shared" ref="F24:Z24" ca="1" si="7">+SUM(F22:F23)</f>
        <v>0</v>
      </c>
      <c r="G24" s="129">
        <f t="shared" ca="1" si="7"/>
        <v>0</v>
      </c>
      <c r="H24" s="129">
        <f t="shared" ca="1" si="7"/>
        <v>0</v>
      </c>
      <c r="I24" s="129">
        <f t="shared" ca="1" si="7"/>
        <v>474022.6911260967</v>
      </c>
      <c r="J24" s="129">
        <f t="shared" ca="1" si="7"/>
        <v>976486.7437197594</v>
      </c>
      <c r="K24" s="129">
        <f t="shared" ca="1" si="7"/>
        <v>1005781.3460313521</v>
      </c>
      <c r="L24" s="129">
        <f t="shared" ca="1" si="7"/>
        <v>1035954.7864122927</v>
      </c>
      <c r="M24" s="129">
        <f t="shared" ca="1" si="7"/>
        <v>1067033.4300046614</v>
      </c>
      <c r="N24" s="129">
        <f t="shared" ca="1" si="7"/>
        <v>1099044.4329048013</v>
      </c>
      <c r="O24" s="129">
        <f t="shared" ca="1" si="7"/>
        <v>1132015.7658919455</v>
      </c>
      <c r="P24" s="129">
        <f t="shared" ca="1" si="7"/>
        <v>1165976.2388687038</v>
      </c>
      <c r="Q24" s="129">
        <f t="shared" ca="1" si="7"/>
        <v>1200955.5260347649</v>
      </c>
      <c r="R24" s="129">
        <f t="shared" ca="1" si="7"/>
        <v>1236984.1918158079</v>
      </c>
      <c r="S24" s="129">
        <f t="shared" ca="1" si="7"/>
        <v>1274093.7175702823</v>
      </c>
      <c r="T24" s="129">
        <f t="shared" ca="1" si="7"/>
        <v>1312316.5290973908</v>
      </c>
      <c r="U24" s="129">
        <f t="shared" ca="1" si="7"/>
        <v>1351686.0249703126</v>
      </c>
      <c r="V24" s="129">
        <f t="shared" ca="1" si="7"/>
        <v>1392236.6057194222</v>
      </c>
      <c r="W24" s="129">
        <f t="shared" ca="1" si="7"/>
        <v>1434003.7038910049</v>
      </c>
      <c r="X24" s="129">
        <f t="shared" ca="1" si="7"/>
        <v>1477023.8150077348</v>
      </c>
      <c r="Y24" s="129">
        <f t="shared" ca="1" si="7"/>
        <v>1521334.529457967</v>
      </c>
      <c r="Z24" s="129">
        <f t="shared" ca="1" si="7"/>
        <v>1566974.5653417062</v>
      </c>
    </row>
    <row r="25" spans="2:26" x14ac:dyDescent="0.35">
      <c r="B25" s="33"/>
    </row>
    <row r="26" spans="2:26" x14ac:dyDescent="0.35">
      <c r="B26" s="138" t="s">
        <v>251</v>
      </c>
      <c r="C26" s="138"/>
      <c r="D26" s="138"/>
      <c r="E26" s="138"/>
      <c r="F26" s="139">
        <f t="shared" ref="F26:Z26" ca="1" si="8">+F20-F24</f>
        <v>0</v>
      </c>
      <c r="G26" s="139">
        <f t="shared" ca="1" si="8"/>
        <v>0</v>
      </c>
      <c r="H26" s="139">
        <f t="shared" ca="1" si="8"/>
        <v>0</v>
      </c>
      <c r="I26" s="139">
        <f t="shared" ca="1" si="8"/>
        <v>213092.90858120978</v>
      </c>
      <c r="J26" s="139">
        <f t="shared" ca="1" si="8"/>
        <v>425054.96217634692</v>
      </c>
      <c r="K26" s="139">
        <f t="shared" ca="1" si="8"/>
        <v>423617.0764758772</v>
      </c>
      <c r="L26" s="139">
        <f t="shared" ca="1" si="8"/>
        <v>421857.48703828233</v>
      </c>
      <c r="M26" s="139">
        <f t="shared" ca="1" si="8"/>
        <v>419760.97140812618</v>
      </c>
      <c r="N26" s="139">
        <f t="shared" ca="1" si="8"/>
        <v>417311.73902944312</v>
      </c>
      <c r="O26" s="139">
        <f t="shared" ca="1" si="8"/>
        <v>414493.41197418468</v>
      </c>
      <c r="P26" s="139">
        <f t="shared" ca="1" si="8"/>
        <v>411289.00504794996</v>
      </c>
      <c r="Q26" s="139">
        <f t="shared" ca="1" si="8"/>
        <v>407680.90525342291</v>
      </c>
      <c r="R26" s="139">
        <f t="shared" ca="1" si="8"/>
        <v>403650.85059134476</v>
      </c>
      <c r="S26" s="139">
        <f t="shared" ca="1" si="8"/>
        <v>399179.90817821398</v>
      </c>
      <c r="T26" s="139">
        <f t="shared" ca="1" si="8"/>
        <v>394248.45165927662</v>
      </c>
      <c r="U26" s="139">
        <f t="shared" ca="1" si="8"/>
        <v>388836.13789468934</v>
      </c>
      <c r="V26" s="139">
        <f t="shared" ca="1" si="8"/>
        <v>382921.88289608061</v>
      </c>
      <c r="W26" s="139">
        <f t="shared" ca="1" si="8"/>
        <v>376483.83699000906</v>
      </c>
      <c r="X26" s="139">
        <f t="shared" ca="1" si="8"/>
        <v>369499.35918410053</v>
      </c>
      <c r="Y26" s="139">
        <f t="shared" ca="1" si="8"/>
        <v>361944.99071090575</v>
      </c>
      <c r="Z26" s="139">
        <f t="shared" ca="1" si="8"/>
        <v>353796.42772374535</v>
      </c>
    </row>
    <row r="27" spans="2:26" x14ac:dyDescent="0.35">
      <c r="B27" s="143" t="s">
        <v>257</v>
      </c>
      <c r="C27" s="141"/>
      <c r="D27" s="141"/>
      <c r="E27" s="141"/>
      <c r="F27" s="144" t="str">
        <f t="shared" ref="F27:Z27" ca="1" si="9">+IFERROR(F26/F20,"")</f>
        <v/>
      </c>
      <c r="G27" s="144" t="str">
        <f t="shared" ca="1" si="9"/>
        <v/>
      </c>
      <c r="H27" s="144" t="str">
        <f t="shared" ca="1" si="9"/>
        <v/>
      </c>
      <c r="I27" s="145">
        <f t="shared" ca="1" si="9"/>
        <v>0.31012672201297986</v>
      </c>
      <c r="J27" s="145">
        <f t="shared" ca="1" si="9"/>
        <v>0.30327671334231093</v>
      </c>
      <c r="K27" s="145">
        <f t="shared" ca="1" si="9"/>
        <v>0.29636039176035589</v>
      </c>
      <c r="L27" s="145">
        <f t="shared" ca="1" si="9"/>
        <v>0.28937709931592559</v>
      </c>
      <c r="M27" s="145">
        <f t="shared" ca="1" si="9"/>
        <v>0.2823261716678912</v>
      </c>
      <c r="N27" s="145">
        <f t="shared" ca="1" si="9"/>
        <v>0.27520693802243418</v>
      </c>
      <c r="O27" s="145">
        <f t="shared" ca="1" si="9"/>
        <v>0.26801872106966851</v>
      </c>
      <c r="P27" s="145">
        <f t="shared" ca="1" si="9"/>
        <v>0.26076083691962937</v>
      </c>
      <c r="Q27" s="145">
        <f t="shared" ca="1" si="9"/>
        <v>0.25343259503762083</v>
      </c>
      <c r="R27" s="145">
        <f t="shared" ca="1" si="9"/>
        <v>0.24603329817892042</v>
      </c>
      <c r="S27" s="145">
        <f t="shared" ca="1" si="9"/>
        <v>0.23856224232283052</v>
      </c>
      <c r="T27" s="145">
        <f t="shared" ca="1" si="9"/>
        <v>0.23101871660607512</v>
      </c>
      <c r="U27" s="145">
        <f t="shared" ca="1" si="9"/>
        <v>0.22340200325553003</v>
      </c>
      <c r="V27" s="145">
        <f t="shared" ca="1" si="9"/>
        <v>0.21571137752028688</v>
      </c>
      <c r="W27" s="145">
        <f t="shared" ca="1" si="9"/>
        <v>0.20794610760304136</v>
      </c>
      <c r="X27" s="145">
        <f t="shared" ca="1" si="9"/>
        <v>0.20010545459079801</v>
      </c>
      <c r="Y27" s="145">
        <f t="shared" ca="1" si="9"/>
        <v>0.19218867238488863</v>
      </c>
      <c r="Z27" s="145">
        <f t="shared" ca="1" si="9"/>
        <v>0.1841950076302977</v>
      </c>
    </row>
    <row r="28" spans="2:26" x14ac:dyDescent="0.35">
      <c r="B28" s="143" t="s">
        <v>191</v>
      </c>
      <c r="C28" s="141"/>
      <c r="D28" s="141"/>
      <c r="E28" s="141"/>
      <c r="F28" s="142">
        <f ca="1">+F26/Assumptions!$N$128</f>
        <v>0</v>
      </c>
      <c r="G28" s="142">
        <f ca="1">+G26/Assumptions!$N$128</f>
        <v>0</v>
      </c>
      <c r="H28" s="142">
        <f ca="1">+H26/Assumptions!$N$128</f>
        <v>0</v>
      </c>
      <c r="I28" s="142">
        <f ca="1">+I26/Assumptions!$N$128</f>
        <v>3705963.6274993005</v>
      </c>
      <c r="J28" s="142">
        <f ca="1">+J26/Assumptions!$N$128</f>
        <v>7392260.2117625549</v>
      </c>
      <c r="K28" s="142">
        <f ca="1">+K26/Assumptions!$N$128</f>
        <v>7367253.5039282991</v>
      </c>
      <c r="L28" s="142">
        <f ca="1">+L26/Assumptions!$N$128</f>
        <v>7336651.9484918667</v>
      </c>
      <c r="M28" s="142">
        <f ca="1">+M26/Assumptions!$N$128</f>
        <v>7300190.8070978466</v>
      </c>
      <c r="N28" s="142">
        <f ca="1">+N26/Assumptions!$N$128</f>
        <v>7257595.4613816189</v>
      </c>
      <c r="O28" s="142">
        <f ca="1">+O26/Assumptions!$N$128</f>
        <v>7208581.077811907</v>
      </c>
      <c r="P28" s="142">
        <f ca="1">+P26/Assumptions!$N$128</f>
        <v>7152852.2617034772</v>
      </c>
      <c r="Q28" s="142">
        <f ca="1">+Q26/Assumptions!$N$128</f>
        <v>7090102.7000595285</v>
      </c>
      <c r="R28" s="142">
        <f ca="1">+R26/Assumptions!$N$128</f>
        <v>7020014.7928929524</v>
      </c>
      <c r="S28" s="142">
        <f ca="1">+S26/Assumptions!$N$128</f>
        <v>6942259.2726645907</v>
      </c>
      <c r="T28" s="142">
        <f ca="1">+T26/Assumptions!$N$128</f>
        <v>6856494.8114656797</v>
      </c>
      <c r="U28" s="142">
        <f ca="1">+U26/Assumptions!$N$128</f>
        <v>6762367.6155598145</v>
      </c>
      <c r="V28" s="142">
        <f ca="1">+V26/Assumptions!$N$128</f>
        <v>6659511.0068883579</v>
      </c>
      <c r="W28" s="142">
        <f ca="1">+W26/Assumptions!$N$128</f>
        <v>6547544.9911305923</v>
      </c>
      <c r="X28" s="142">
        <f ca="1">+X26/Assumptions!$N$128</f>
        <v>6426075.8118973998</v>
      </c>
      <c r="Y28" s="142">
        <f ca="1">+Y26/Assumptions!$N$128</f>
        <v>6294695.4906244474</v>
      </c>
      <c r="Z28" s="142">
        <f ca="1">+Z26/Assumptions!$N$128</f>
        <v>6152981.35171731</v>
      </c>
    </row>
    <row r="30" spans="2:26" x14ac:dyDescent="0.35">
      <c r="B30" s="148" t="s">
        <v>263</v>
      </c>
      <c r="C30" s="149"/>
      <c r="D30" s="149"/>
      <c r="E30" s="149"/>
      <c r="F30" s="150">
        <f>+Assumptions!$F$22</f>
        <v>44196</v>
      </c>
      <c r="G30" s="150">
        <f>+EOMONTH(F30,12)</f>
        <v>44561</v>
      </c>
      <c r="H30" s="150">
        <f t="shared" ref="H30:Z30" si="10">+EOMONTH(G30,12)</f>
        <v>44926</v>
      </c>
      <c r="I30" s="150">
        <f t="shared" si="10"/>
        <v>45291</v>
      </c>
      <c r="J30" s="150">
        <f t="shared" si="10"/>
        <v>45657</v>
      </c>
      <c r="K30" s="150">
        <f t="shared" si="10"/>
        <v>46022</v>
      </c>
      <c r="L30" s="150">
        <f t="shared" si="10"/>
        <v>46387</v>
      </c>
      <c r="M30" s="150">
        <f t="shared" si="10"/>
        <v>46752</v>
      </c>
      <c r="N30" s="150">
        <f t="shared" si="10"/>
        <v>47118</v>
      </c>
      <c r="O30" s="150">
        <f t="shared" si="10"/>
        <v>47483</v>
      </c>
      <c r="P30" s="150">
        <f t="shared" si="10"/>
        <v>47848</v>
      </c>
      <c r="Q30" s="150">
        <f t="shared" si="10"/>
        <v>48213</v>
      </c>
      <c r="R30" s="150">
        <f t="shared" si="10"/>
        <v>48579</v>
      </c>
      <c r="S30" s="150">
        <f t="shared" si="10"/>
        <v>48944</v>
      </c>
      <c r="T30" s="150">
        <f t="shared" si="10"/>
        <v>49309</v>
      </c>
      <c r="U30" s="150">
        <f t="shared" si="10"/>
        <v>49674</v>
      </c>
      <c r="V30" s="150">
        <f t="shared" si="10"/>
        <v>50040</v>
      </c>
      <c r="W30" s="150">
        <f t="shared" si="10"/>
        <v>50405</v>
      </c>
      <c r="X30" s="150">
        <f t="shared" si="10"/>
        <v>50770</v>
      </c>
      <c r="Y30" s="150">
        <f t="shared" si="10"/>
        <v>51135</v>
      </c>
      <c r="Z30" s="150">
        <f t="shared" si="10"/>
        <v>51501</v>
      </c>
    </row>
    <row r="31" spans="2:26" x14ac:dyDescent="0.35">
      <c r="B31" s="33" t="s">
        <v>766</v>
      </c>
      <c r="C31" s="33"/>
      <c r="D31" s="40"/>
      <c r="E31" s="40"/>
      <c r="F31" s="42">
        <f>+IF(AND(F30&gt;=Assumptions!$F$26,F30&lt;Assumptions!$F$28),Assumptions!$F$83/ROUNDUP((Assumptions!$F$27/12),0),0)</f>
        <v>0</v>
      </c>
      <c r="G31" s="42">
        <f>+IF(AND(G30&gt;=Assumptions!$F$26,G30&lt;Assumptions!$F$28),Assumptions!$F$83/ROUNDUP((Assumptions!$F$27/12),0),0)</f>
        <v>0</v>
      </c>
      <c r="H31" s="42">
        <f>+IF(AND(H30&gt;=Assumptions!$F$26,H30&lt;Assumptions!$F$28),Assumptions!$F$83/ROUNDUP((Assumptions!$F$27/12),0),0)</f>
        <v>0</v>
      </c>
      <c r="I31" s="42">
        <f>+IF(AND(I30&gt;=Assumptions!$F$26,I30&lt;Assumptions!$F$28),Assumptions!$F$83/ROUNDUP((Assumptions!$F$27/12),0),0)</f>
        <v>218663.17027884291</v>
      </c>
      <c r="J31" s="42">
        <f>+IF(AND(J30&gt;=Assumptions!$F$26,J30&lt;Assumptions!$F$28),Assumptions!$F$83/ROUNDUP((Assumptions!$F$27/12),0),0)</f>
        <v>218663.17027884291</v>
      </c>
      <c r="K31" s="42">
        <f>+IF(AND(K30&gt;=Assumptions!$F$26,K30&lt;Assumptions!$F$28),Assumptions!$F$83/ROUNDUP((Assumptions!$F$27/12),0),0)</f>
        <v>0</v>
      </c>
      <c r="L31" s="42">
        <f>+IF(AND(L30&gt;=Assumptions!$F$26,L30&lt;Assumptions!$F$28),Assumptions!$F$83/ROUNDUP((Assumptions!$F$27/12),0),0)</f>
        <v>0</v>
      </c>
      <c r="M31" s="42">
        <f>+IF(AND(M30&gt;=Assumptions!$F$26,M30&lt;Assumptions!$F$28),Assumptions!$F$83/ROUNDUP((Assumptions!$F$27/12),0),0)</f>
        <v>0</v>
      </c>
      <c r="N31" s="42">
        <f>+IF(AND(N30&gt;=Assumptions!$F$26,N30&lt;Assumptions!$F$28),Assumptions!$F$83/ROUNDUP((Assumptions!$F$27/12),0),0)</f>
        <v>0</v>
      </c>
      <c r="O31" s="42">
        <f>+IF(AND(O30&gt;=Assumptions!$F$26,O30&lt;Assumptions!$F$28),Assumptions!$F$83/ROUNDUP((Assumptions!$F$27/12),0),0)</f>
        <v>0</v>
      </c>
      <c r="P31" s="42">
        <f>+IF(AND(P30&gt;=Assumptions!$F$26,P30&lt;Assumptions!$F$28),Assumptions!$F$83/ROUNDUP((Assumptions!$F$27/12),0),0)</f>
        <v>0</v>
      </c>
      <c r="Q31" s="42">
        <f>+IF(AND(Q30&gt;=Assumptions!$F$26,Q30&lt;Assumptions!$F$28),Assumptions!$F$83/ROUNDUP((Assumptions!$F$27/12),0),0)</f>
        <v>0</v>
      </c>
      <c r="R31" s="42">
        <f>+IF(AND(R30&gt;=Assumptions!$F$26,R30&lt;Assumptions!$F$28),Assumptions!$F$83/ROUNDUP((Assumptions!$F$27/12),0),0)</f>
        <v>0</v>
      </c>
      <c r="S31" s="42">
        <f>+IF(AND(S30&gt;=Assumptions!$F$26,S30&lt;Assumptions!$F$28),Assumptions!$F$83/ROUNDUP((Assumptions!$F$27/12),0),0)</f>
        <v>0</v>
      </c>
      <c r="T31" s="42">
        <f>+IF(AND(T30&gt;=Assumptions!$F$26,T30&lt;Assumptions!$F$28),Assumptions!$F$83/ROUNDUP((Assumptions!$F$27/12),0),0)</f>
        <v>0</v>
      </c>
      <c r="U31" s="42">
        <f>+IF(AND(U30&gt;=Assumptions!$F$26,U30&lt;Assumptions!$F$28),Assumptions!$F$83/ROUNDUP((Assumptions!$F$27/12),0),0)</f>
        <v>0</v>
      </c>
      <c r="V31" s="42">
        <f>+IF(AND(V30&gt;=Assumptions!$F$26,V30&lt;Assumptions!$F$28),Assumptions!$F$83/ROUNDUP((Assumptions!$F$27/12),0),0)</f>
        <v>0</v>
      </c>
      <c r="W31" s="42">
        <f>+IF(AND(W30&gt;=Assumptions!$F$26,W30&lt;Assumptions!$F$28),Assumptions!$F$83/ROUNDUP((Assumptions!$F$27/12),0),0)</f>
        <v>0</v>
      </c>
      <c r="X31" s="42">
        <f>+IF(AND(X30&gt;=Assumptions!$F$26,X30&lt;Assumptions!$F$28),Assumptions!$F$83/ROUNDUP((Assumptions!$F$27/12),0),0)</f>
        <v>0</v>
      </c>
      <c r="Y31" s="42">
        <f>+IF(AND(Y30&gt;=Assumptions!$F$26,Y30&lt;Assumptions!$F$28),Assumptions!$F$83/ROUNDUP((Assumptions!$F$27/12),0),0)</f>
        <v>0</v>
      </c>
      <c r="Z31" s="42">
        <f>+IF(AND(Z30&gt;=Assumptions!$F$26,Z30&lt;Assumptions!$F$28),Assumptions!$F$83/ROUNDUP((Assumptions!$F$27/12),0),0)</f>
        <v>0</v>
      </c>
    </row>
    <row r="32" spans="2:26" x14ac:dyDescent="0.35">
      <c r="B32" s="33" t="s">
        <v>249</v>
      </c>
      <c r="C32" s="33"/>
      <c r="D32" s="42">
        <v>0</v>
      </c>
      <c r="E32" s="42"/>
      <c r="F32" s="42">
        <f>+D32+F31</f>
        <v>0</v>
      </c>
      <c r="G32" s="42">
        <f t="shared" ref="G32" si="11">+F32+G31</f>
        <v>0</v>
      </c>
      <c r="H32" s="42">
        <f t="shared" ref="H32" si="12">+G32+H31</f>
        <v>0</v>
      </c>
      <c r="I32" s="42">
        <f t="shared" ref="I32" si="13">+H32+I31</f>
        <v>218663.17027884291</v>
      </c>
      <c r="J32" s="42">
        <f t="shared" ref="J32" si="14">+I32+J31</f>
        <v>437326.34055768582</v>
      </c>
      <c r="K32" s="42">
        <f t="shared" ref="K32" si="15">+J32+K31</f>
        <v>437326.34055768582</v>
      </c>
      <c r="L32" s="42">
        <f t="shared" ref="L32" si="16">+K32+L31</f>
        <v>437326.34055768582</v>
      </c>
      <c r="M32" s="42">
        <f t="shared" ref="M32" si="17">+L32+M31</f>
        <v>437326.34055768582</v>
      </c>
      <c r="N32" s="42">
        <f t="shared" ref="N32" si="18">+M32+N31</f>
        <v>437326.34055768582</v>
      </c>
      <c r="O32" s="42">
        <f t="shared" ref="O32" si="19">+N32+O31</f>
        <v>437326.34055768582</v>
      </c>
      <c r="P32" s="42">
        <f t="shared" ref="P32" si="20">+O32+P31</f>
        <v>437326.34055768582</v>
      </c>
      <c r="Q32" s="42">
        <f t="shared" ref="Q32" si="21">+P32+Q31</f>
        <v>437326.34055768582</v>
      </c>
      <c r="R32" s="42">
        <f t="shared" ref="R32" si="22">+Q32+R31</f>
        <v>437326.34055768582</v>
      </c>
      <c r="S32" s="42">
        <f t="shared" ref="S32" si="23">+R32+S31</f>
        <v>437326.34055768582</v>
      </c>
      <c r="T32" s="42">
        <f t="shared" ref="T32" si="24">+S32+T31</f>
        <v>437326.34055768582</v>
      </c>
      <c r="U32" s="42">
        <f t="shared" ref="U32" si="25">+T32+U31</f>
        <v>437326.34055768582</v>
      </c>
      <c r="V32" s="42">
        <f t="shared" ref="V32" si="26">+U32+V31</f>
        <v>437326.34055768582</v>
      </c>
      <c r="W32" s="42">
        <f t="shared" ref="W32" si="27">+V32+W31</f>
        <v>437326.34055768582</v>
      </c>
      <c r="X32" s="42">
        <f t="shared" ref="X32" si="28">+W32+X31</f>
        <v>437326.34055768582</v>
      </c>
      <c r="Y32" s="42">
        <f t="shared" ref="Y32" si="29">+X32+Y31</f>
        <v>437326.34055768582</v>
      </c>
      <c r="Z32" s="42">
        <f t="shared" ref="Z32" si="30">+Y32+Z31</f>
        <v>437326.34055768582</v>
      </c>
    </row>
    <row r="33" spans="2:26" x14ac:dyDescent="0.35">
      <c r="B33" s="33" t="s">
        <v>496</v>
      </c>
      <c r="C33" s="33"/>
      <c r="D33" s="42"/>
      <c r="E33" s="42"/>
      <c r="F33" s="42">
        <f>+F34-E34</f>
        <v>0</v>
      </c>
      <c r="G33" s="42">
        <f t="shared" ref="G33" si="31">+G34-F34</f>
        <v>0</v>
      </c>
      <c r="H33" s="42">
        <f t="shared" ref="H33" si="32">+H34-G34</f>
        <v>0</v>
      </c>
      <c r="I33" s="42">
        <f t="shared" ref="I33" si="33">+I34-H34</f>
        <v>299.17097388150785</v>
      </c>
      <c r="J33" s="42">
        <f t="shared" ref="J33" si="34">+J34-I34</f>
        <v>299.17097388150785</v>
      </c>
      <c r="K33" s="42">
        <f t="shared" ref="K33" si="35">+K34-J34</f>
        <v>0</v>
      </c>
      <c r="L33" s="42">
        <f t="shared" ref="L33" si="36">+L34-K34</f>
        <v>0</v>
      </c>
      <c r="M33" s="42">
        <f t="shared" ref="M33" si="37">+M34-L34</f>
        <v>0</v>
      </c>
      <c r="N33" s="42">
        <f t="shared" ref="N33" si="38">+N34-M34</f>
        <v>0</v>
      </c>
      <c r="O33" s="42">
        <f t="shared" ref="O33" si="39">+O34-N34</f>
        <v>0</v>
      </c>
      <c r="P33" s="42">
        <f t="shared" ref="P33" si="40">+P34-O34</f>
        <v>0</v>
      </c>
      <c r="Q33" s="42">
        <f t="shared" ref="Q33" si="41">+Q34-P34</f>
        <v>0</v>
      </c>
      <c r="R33" s="42">
        <f t="shared" ref="R33" si="42">+R34-Q34</f>
        <v>0</v>
      </c>
      <c r="S33" s="42">
        <f t="shared" ref="S33" si="43">+S34-R34</f>
        <v>0</v>
      </c>
      <c r="T33" s="42">
        <f t="shared" ref="T33" si="44">+T34-S34</f>
        <v>0</v>
      </c>
      <c r="U33" s="42">
        <f t="shared" ref="U33" si="45">+U34-T34</f>
        <v>0</v>
      </c>
      <c r="V33" s="42">
        <f t="shared" ref="V33" si="46">+V34-U34</f>
        <v>0</v>
      </c>
      <c r="W33" s="42">
        <f t="shared" ref="W33" si="47">+W34-V34</f>
        <v>0</v>
      </c>
      <c r="X33" s="42">
        <f t="shared" ref="X33" si="48">+X34-W34</f>
        <v>0</v>
      </c>
      <c r="Y33" s="42">
        <f t="shared" ref="Y33" si="49">+Y34-X34</f>
        <v>0</v>
      </c>
      <c r="Z33" s="42">
        <f t="shared" ref="Z33" si="50">+Z34-Y34</f>
        <v>0</v>
      </c>
    </row>
    <row r="34" spans="2:26" x14ac:dyDescent="0.35">
      <c r="B34" s="33" t="s">
        <v>250</v>
      </c>
      <c r="C34" s="33"/>
      <c r="D34" s="42"/>
      <c r="E34" s="42"/>
      <c r="F34" s="42">
        <f>+F35*Assumptions!$F$84</f>
        <v>0</v>
      </c>
      <c r="G34" s="42">
        <f>+G35*Assumptions!$F$84</f>
        <v>0</v>
      </c>
      <c r="H34" s="42">
        <f>+H35*Assumptions!$F$84</f>
        <v>0</v>
      </c>
      <c r="I34" s="42">
        <f>+I35*Assumptions!$F$84</f>
        <v>299.17097388150785</v>
      </c>
      <c r="J34" s="42">
        <f>+J35*Assumptions!$F$84</f>
        <v>598.3419477630157</v>
      </c>
      <c r="K34" s="42">
        <f>+K35*Assumptions!$F$84</f>
        <v>598.3419477630157</v>
      </c>
      <c r="L34" s="42">
        <f>+L35*Assumptions!$F$84</f>
        <v>598.3419477630157</v>
      </c>
      <c r="M34" s="42">
        <f>+M35*Assumptions!$F$84</f>
        <v>598.3419477630157</v>
      </c>
      <c r="N34" s="42">
        <f>+N35*Assumptions!$F$84</f>
        <v>598.3419477630157</v>
      </c>
      <c r="O34" s="42">
        <f>+O35*Assumptions!$F$84</f>
        <v>598.3419477630157</v>
      </c>
      <c r="P34" s="42">
        <f>+P35*Assumptions!$F$84</f>
        <v>598.3419477630157</v>
      </c>
      <c r="Q34" s="42">
        <f>+Q35*Assumptions!$F$84</f>
        <v>598.3419477630157</v>
      </c>
      <c r="R34" s="42">
        <f>+R35*Assumptions!$F$84</f>
        <v>598.3419477630157</v>
      </c>
      <c r="S34" s="42">
        <f>+S35*Assumptions!$F$84</f>
        <v>598.3419477630157</v>
      </c>
      <c r="T34" s="42">
        <f>+T35*Assumptions!$F$84</f>
        <v>598.3419477630157</v>
      </c>
      <c r="U34" s="42">
        <f>+U35*Assumptions!$F$84</f>
        <v>598.3419477630157</v>
      </c>
      <c r="V34" s="42">
        <f>+V35*Assumptions!$F$84</f>
        <v>598.3419477630157</v>
      </c>
      <c r="W34" s="42">
        <f>+W35*Assumptions!$F$84</f>
        <v>598.3419477630157</v>
      </c>
      <c r="X34" s="42">
        <f>+X35*Assumptions!$F$84</f>
        <v>598.3419477630157</v>
      </c>
      <c r="Y34" s="42">
        <f>+Y35*Assumptions!$F$84</f>
        <v>598.3419477630157</v>
      </c>
      <c r="Z34" s="42">
        <f>+Z35*Assumptions!$F$84</f>
        <v>598.3419477630157</v>
      </c>
    </row>
    <row r="35" spans="2:26" x14ac:dyDescent="0.35">
      <c r="B35" s="33" t="s">
        <v>306</v>
      </c>
      <c r="C35" s="33"/>
      <c r="D35" s="42"/>
      <c r="E35" s="42"/>
      <c r="F35" s="108">
        <f>+F32/SUM($F31:$Z31)</f>
        <v>0</v>
      </c>
      <c r="G35" s="108">
        <f t="shared" ref="G35:Z35" si="51">+G32/SUM($F31:$Z31)</f>
        <v>0</v>
      </c>
      <c r="H35" s="108">
        <f t="shared" si="51"/>
        <v>0</v>
      </c>
      <c r="I35" s="108">
        <f t="shared" si="51"/>
        <v>0.5</v>
      </c>
      <c r="J35" s="108">
        <f t="shared" si="51"/>
        <v>1</v>
      </c>
      <c r="K35" s="108">
        <f t="shared" si="51"/>
        <v>1</v>
      </c>
      <c r="L35" s="108">
        <f t="shared" si="51"/>
        <v>1</v>
      </c>
      <c r="M35" s="108">
        <f t="shared" si="51"/>
        <v>1</v>
      </c>
      <c r="N35" s="108">
        <f t="shared" si="51"/>
        <v>1</v>
      </c>
      <c r="O35" s="108">
        <f t="shared" si="51"/>
        <v>1</v>
      </c>
      <c r="P35" s="108">
        <f t="shared" si="51"/>
        <v>1</v>
      </c>
      <c r="Q35" s="108">
        <f t="shared" si="51"/>
        <v>1</v>
      </c>
      <c r="R35" s="108">
        <f t="shared" si="51"/>
        <v>1</v>
      </c>
      <c r="S35" s="108">
        <f t="shared" si="51"/>
        <v>1</v>
      </c>
      <c r="T35" s="108">
        <f t="shared" si="51"/>
        <v>1</v>
      </c>
      <c r="U35" s="108">
        <f t="shared" si="51"/>
        <v>1</v>
      </c>
      <c r="V35" s="108">
        <f t="shared" si="51"/>
        <v>1</v>
      </c>
      <c r="W35" s="108">
        <f t="shared" si="51"/>
        <v>1</v>
      </c>
      <c r="X35" s="108">
        <f t="shared" si="51"/>
        <v>1</v>
      </c>
      <c r="Y35" s="108">
        <f t="shared" si="51"/>
        <v>1</v>
      </c>
      <c r="Z35" s="108">
        <f t="shared" si="51"/>
        <v>1</v>
      </c>
    </row>
    <row r="36" spans="2:26" x14ac:dyDescent="0.35">
      <c r="B36" s="33"/>
      <c r="C36" s="33"/>
      <c r="D36" s="40"/>
      <c r="E36" s="40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2:26" x14ac:dyDescent="0.35">
      <c r="B37" s="33" t="s">
        <v>254</v>
      </c>
      <c r="C37" s="33"/>
      <c r="D37" s="42"/>
      <c r="E37" s="42"/>
      <c r="F37" s="108">
        <v>1</v>
      </c>
      <c r="G37" s="108">
        <f>+F37*(1+Assumptions!$N$64)</f>
        <v>1.03</v>
      </c>
      <c r="H37" s="108">
        <f>+G37*(1+Assumptions!$N$64)</f>
        <v>1.0609</v>
      </c>
      <c r="I37" s="108">
        <f>+H37*(1+Assumptions!$N$64)</f>
        <v>1.092727</v>
      </c>
      <c r="J37" s="108">
        <f>+I37*(1+Assumptions!$N$64)</f>
        <v>1.1255088100000001</v>
      </c>
      <c r="K37" s="108">
        <f>+J37*(1+Assumptions!$N$64)</f>
        <v>1.1592740743000001</v>
      </c>
      <c r="L37" s="108">
        <f>+K37*(1+Assumptions!$N$64)</f>
        <v>1.1940522965290001</v>
      </c>
      <c r="M37" s="108">
        <f>+L37*(1+Assumptions!$N$64)</f>
        <v>1.2298738654248702</v>
      </c>
      <c r="N37" s="108">
        <f>+M37*(1+Assumptions!$N$64)</f>
        <v>1.2667700813876164</v>
      </c>
      <c r="O37" s="108">
        <f>+N37*(1+Assumptions!$N$64)</f>
        <v>1.3047731838292449</v>
      </c>
      <c r="P37" s="108">
        <f>+O37*(1+Assumptions!$N$64)</f>
        <v>1.3439163793441222</v>
      </c>
      <c r="Q37" s="108">
        <f>+P37*(1+Assumptions!$N$64)</f>
        <v>1.3842338707244459</v>
      </c>
      <c r="R37" s="108">
        <f>+Q37*(1+Assumptions!$N$64)</f>
        <v>1.4257608868461793</v>
      </c>
      <c r="S37" s="108">
        <f>+R37*(1+Assumptions!$N$64)</f>
        <v>1.4685337134515648</v>
      </c>
      <c r="T37" s="108">
        <f>+S37*(1+Assumptions!$N$64)</f>
        <v>1.5125897248551119</v>
      </c>
      <c r="U37" s="108">
        <f>+T37*(1+Assumptions!$N$64)</f>
        <v>1.5579674166007653</v>
      </c>
      <c r="V37" s="108">
        <f>+U37*(1+Assumptions!$N$64)</f>
        <v>1.6047064390987884</v>
      </c>
      <c r="W37" s="108">
        <f>+V37*(1+Assumptions!$N$64)</f>
        <v>1.652847632271752</v>
      </c>
      <c r="X37" s="108">
        <f>+W37*(1+Assumptions!$N$64)</f>
        <v>1.7024330612399046</v>
      </c>
      <c r="Y37" s="108">
        <f>+X37*(1+Assumptions!$N$64)</f>
        <v>1.7535060530771018</v>
      </c>
      <c r="Z37" s="108">
        <f>+Y37*(1+Assumptions!$N$64)</f>
        <v>1.806111234669415</v>
      </c>
    </row>
    <row r="38" spans="2:26" x14ac:dyDescent="0.35">
      <c r="B38" s="33" t="s">
        <v>255</v>
      </c>
      <c r="C38" s="33"/>
      <c r="D38" s="42"/>
      <c r="E38" s="42"/>
      <c r="F38" s="108">
        <v>1</v>
      </c>
      <c r="G38" s="108">
        <f>+F38*(1+Assumptions!$N$77)</f>
        <v>1.03</v>
      </c>
      <c r="H38" s="108">
        <f>+G38*(1+Assumptions!$N$77)</f>
        <v>1.0609</v>
      </c>
      <c r="I38" s="108">
        <f>+H38*(1+Assumptions!$N$77)</f>
        <v>1.092727</v>
      </c>
      <c r="J38" s="108">
        <f>+I38*(1+Assumptions!$N$77)</f>
        <v>1.1255088100000001</v>
      </c>
      <c r="K38" s="108">
        <f>+J38*(1+Assumptions!$N$77)</f>
        <v>1.1592740743000001</v>
      </c>
      <c r="L38" s="108">
        <f>+K38*(1+Assumptions!$N$77)</f>
        <v>1.1940522965290001</v>
      </c>
      <c r="M38" s="108">
        <f>+L38*(1+Assumptions!$N$77)</f>
        <v>1.2298738654248702</v>
      </c>
      <c r="N38" s="108">
        <f>+M38*(1+Assumptions!$N$77)</f>
        <v>1.2667700813876164</v>
      </c>
      <c r="O38" s="108">
        <f>+N38*(1+Assumptions!$N$77)</f>
        <v>1.3047731838292449</v>
      </c>
      <c r="P38" s="108">
        <f>+O38*(1+Assumptions!$N$77)</f>
        <v>1.3439163793441222</v>
      </c>
      <c r="Q38" s="108">
        <f>+P38*(1+Assumptions!$N$77)</f>
        <v>1.3842338707244459</v>
      </c>
      <c r="R38" s="108">
        <f>+Q38*(1+Assumptions!$N$77)</f>
        <v>1.4257608868461793</v>
      </c>
      <c r="S38" s="108">
        <f>+R38*(1+Assumptions!$N$77)</f>
        <v>1.4685337134515648</v>
      </c>
      <c r="T38" s="108">
        <f>+S38*(1+Assumptions!$N$77)</f>
        <v>1.5125897248551119</v>
      </c>
      <c r="U38" s="108">
        <f>+T38*(1+Assumptions!$N$77)</f>
        <v>1.5579674166007653</v>
      </c>
      <c r="V38" s="108">
        <f>+U38*(1+Assumptions!$N$77)</f>
        <v>1.6047064390987884</v>
      </c>
      <c r="W38" s="108">
        <f>+V38*(1+Assumptions!$N$77)</f>
        <v>1.652847632271752</v>
      </c>
      <c r="X38" s="108">
        <f>+W38*(1+Assumptions!$N$77)</f>
        <v>1.7024330612399046</v>
      </c>
      <c r="Y38" s="108">
        <f>+X38*(1+Assumptions!$N$77)</f>
        <v>1.7535060530771018</v>
      </c>
      <c r="Z38" s="108">
        <f>+Y38*(1+Assumptions!$N$77)</f>
        <v>1.806111234669415</v>
      </c>
    </row>
    <row r="39" spans="2:26" x14ac:dyDescent="0.35">
      <c r="B39" s="33"/>
      <c r="C39" s="33"/>
      <c r="D39" s="40"/>
      <c r="E39" s="40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2:26" x14ac:dyDescent="0.35">
      <c r="B40" s="33" t="s">
        <v>246</v>
      </c>
      <c r="C40" s="33"/>
      <c r="D40" s="40"/>
      <c r="E40" s="40"/>
      <c r="F40" s="34">
        <f>+F35*Assumptions!$F$82*F37</f>
        <v>0</v>
      </c>
      <c r="G40" s="34">
        <f>+G35*Assumptions!$F$82*G37</f>
        <v>0</v>
      </c>
      <c r="H40" s="34">
        <f>+H35*Assumptions!$F$82*H37</f>
        <v>0</v>
      </c>
      <c r="I40" s="34">
        <f>+I35*Assumptions!$F$82*I37</f>
        <v>6890570.6531799929</v>
      </c>
      <c r="J40" s="34">
        <f>+J35*Assumptions!$F$82*J37</f>
        <v>14194575.545550786</v>
      </c>
      <c r="K40" s="34">
        <f>+K35*Assumptions!$F$82*K37</f>
        <v>14620412.811917309</v>
      </c>
      <c r="L40" s="34">
        <f>+L35*Assumptions!$F$82*L37</f>
        <v>15059025.196274828</v>
      </c>
      <c r="M40" s="34">
        <f>+M35*Assumptions!$F$82*M37</f>
        <v>15510795.952163074</v>
      </c>
      <c r="N40" s="34">
        <f>+N35*Assumptions!$F$82*N37</f>
        <v>15976119.830727968</v>
      </c>
      <c r="O40" s="34">
        <f>+O35*Assumptions!$F$82*O37</f>
        <v>16455403.425649807</v>
      </c>
      <c r="P40" s="34">
        <f>+P35*Assumptions!$F$82*P37</f>
        <v>16949065.528419301</v>
      </c>
      <c r="Q40" s="34">
        <f>+Q35*Assumptions!$F$82*Q37</f>
        <v>17457537.494271882</v>
      </c>
      <c r="R40" s="34">
        <f>+R35*Assumptions!$F$82*R37</f>
        <v>17981263.619100038</v>
      </c>
      <c r="S40" s="34">
        <f>+S35*Assumptions!$F$82*S37</f>
        <v>18520701.52767304</v>
      </c>
      <c r="T40" s="34">
        <f>+T35*Assumptions!$F$82*T37</f>
        <v>19076322.573503233</v>
      </c>
      <c r="U40" s="34">
        <f>+U35*Assumptions!$F$82*U37</f>
        <v>19648612.25070833</v>
      </c>
      <c r="V40" s="34">
        <f>+V35*Assumptions!$F$82*V37</f>
        <v>20238070.618229583</v>
      </c>
      <c r="W40" s="34">
        <f>+W35*Assumptions!$F$82*W37</f>
        <v>20845212.736776467</v>
      </c>
      <c r="X40" s="34">
        <f>+X35*Assumptions!$F$82*X37</f>
        <v>21470569.118879762</v>
      </c>
      <c r="Y40" s="34">
        <f>+Y35*Assumptions!$F$82*Y37</f>
        <v>22114686.192446157</v>
      </c>
      <c r="Z40" s="34">
        <f>+Z35*Assumptions!$F$82*Z37</f>
        <v>22778126.778219543</v>
      </c>
    </row>
    <row r="41" spans="2:26" x14ac:dyDescent="0.35">
      <c r="B41" s="33" t="s">
        <v>247</v>
      </c>
      <c r="C41" s="33"/>
      <c r="D41" s="40"/>
      <c r="E41" s="40"/>
      <c r="F41" s="42">
        <f>-F40*Assumptions!$N$55</f>
        <v>0</v>
      </c>
      <c r="G41" s="42">
        <f>-G40*Assumptions!$N$55</f>
        <v>0</v>
      </c>
      <c r="H41" s="42">
        <f>-H40*Assumptions!$N$55</f>
        <v>0</v>
      </c>
      <c r="I41" s="42">
        <f>-I40*Assumptions!$N$55</f>
        <v>-344528.53265899967</v>
      </c>
      <c r="J41" s="42">
        <f>-J40*Assumptions!$N$55</f>
        <v>-709728.77727753937</v>
      </c>
      <c r="K41" s="42">
        <f>-K40*Assumptions!$N$55</f>
        <v>-731020.64059586544</v>
      </c>
      <c r="L41" s="42">
        <f>-L40*Assumptions!$N$55</f>
        <v>-752951.25981374143</v>
      </c>
      <c r="M41" s="42">
        <f>-M40*Assumptions!$N$55</f>
        <v>-775539.79760815378</v>
      </c>
      <c r="N41" s="42">
        <f>-N40*Assumptions!$N$55</f>
        <v>-798805.99153639842</v>
      </c>
      <c r="O41" s="42">
        <f>-O40*Assumptions!$N$55</f>
        <v>-822770.17128249037</v>
      </c>
      <c r="P41" s="42">
        <f>-P40*Assumptions!$N$55</f>
        <v>-847453.27642096509</v>
      </c>
      <c r="Q41" s="42">
        <f>-Q40*Assumptions!$N$55</f>
        <v>-872876.87471359409</v>
      </c>
      <c r="R41" s="42">
        <f>-R40*Assumptions!$N$55</f>
        <v>-899063.18095500197</v>
      </c>
      <c r="S41" s="42">
        <f>-S40*Assumptions!$N$55</f>
        <v>-926035.07638365205</v>
      </c>
      <c r="T41" s="42">
        <f>-T40*Assumptions!$N$55</f>
        <v>-953816.12867516174</v>
      </c>
      <c r="U41" s="42">
        <f>-U40*Assumptions!$N$55</f>
        <v>-982430.61253541661</v>
      </c>
      <c r="V41" s="42">
        <f>-V40*Assumptions!$N$55</f>
        <v>-1011903.5309114791</v>
      </c>
      <c r="W41" s="42">
        <f>-W40*Assumptions!$N$55</f>
        <v>-1042260.6368388234</v>
      </c>
      <c r="X41" s="42">
        <f>-X40*Assumptions!$N$55</f>
        <v>-1073528.4559439882</v>
      </c>
      <c r="Y41" s="42">
        <f>-Y40*Assumptions!$N$55</f>
        <v>-1105734.309622308</v>
      </c>
      <c r="Z41" s="42">
        <f>-Z40*Assumptions!$N$55</f>
        <v>-1138906.3389109771</v>
      </c>
    </row>
    <row r="42" spans="2:26" x14ac:dyDescent="0.35">
      <c r="B42" s="33" t="s">
        <v>350</v>
      </c>
      <c r="C42" s="33"/>
      <c r="D42" s="40"/>
      <c r="E42" s="40"/>
      <c r="F42" s="151">
        <f>+F34*Assumptions!$F$90*(1-Assumptions!$N$55)*12</f>
        <v>0</v>
      </c>
      <c r="G42" s="151">
        <f>+G34*Assumptions!$F$90*(1-Assumptions!$N$55)*12</f>
        <v>0</v>
      </c>
      <c r="H42" s="151">
        <f>+H34*Assumptions!$F$90*(1-Assumptions!$N$55)*12</f>
        <v>0</v>
      </c>
      <c r="I42" s="151">
        <f>+I34*Assumptions!$F$90*(1-Assumptions!$N$55)*12</f>
        <v>187580.2006237054</v>
      </c>
      <c r="J42" s="151">
        <f>+J34*Assumptions!$F$90*(1-Assumptions!$N$55)*12</f>
        <v>375160.4012474108</v>
      </c>
      <c r="K42" s="151">
        <f>+K34*Assumptions!$F$90*(1-Assumptions!$N$55)*12</f>
        <v>375160.4012474108</v>
      </c>
      <c r="L42" s="151">
        <f>+L34*Assumptions!$F$90*(1-Assumptions!$N$55)*12</f>
        <v>375160.4012474108</v>
      </c>
      <c r="M42" s="151">
        <f>+M34*Assumptions!$F$90*(1-Assumptions!$N$55)*12</f>
        <v>375160.4012474108</v>
      </c>
      <c r="N42" s="151">
        <f>+N34*Assumptions!$F$90*(1-Assumptions!$N$55)*12</f>
        <v>375160.4012474108</v>
      </c>
      <c r="O42" s="151">
        <f>+O34*Assumptions!$F$90*(1-Assumptions!$N$55)*12</f>
        <v>375160.4012474108</v>
      </c>
      <c r="P42" s="151">
        <f>+P34*Assumptions!$F$90*(1-Assumptions!$N$55)*12</f>
        <v>375160.4012474108</v>
      </c>
      <c r="Q42" s="151">
        <f>+Q34*Assumptions!$F$90*(1-Assumptions!$N$55)*12</f>
        <v>375160.4012474108</v>
      </c>
      <c r="R42" s="151">
        <f>+R34*Assumptions!$F$90*(1-Assumptions!$N$55)*12</f>
        <v>375160.4012474108</v>
      </c>
      <c r="S42" s="151">
        <f>+S34*Assumptions!$F$90*(1-Assumptions!$N$55)*12</f>
        <v>375160.4012474108</v>
      </c>
      <c r="T42" s="151">
        <f>+T34*Assumptions!$F$90*(1-Assumptions!$N$55)*12</f>
        <v>375160.4012474108</v>
      </c>
      <c r="U42" s="151">
        <f>+U34*Assumptions!$F$90*(1-Assumptions!$N$55)*12</f>
        <v>375160.4012474108</v>
      </c>
      <c r="V42" s="151">
        <f>+V34*Assumptions!$F$90*(1-Assumptions!$N$55)*12</f>
        <v>375160.4012474108</v>
      </c>
      <c r="W42" s="151">
        <f>+W34*Assumptions!$F$90*(1-Assumptions!$N$55)*12</f>
        <v>375160.4012474108</v>
      </c>
      <c r="X42" s="151">
        <f>+X34*Assumptions!$F$90*(1-Assumptions!$N$55)*12</f>
        <v>375160.4012474108</v>
      </c>
      <c r="Y42" s="151">
        <f>+Y34*Assumptions!$F$90*(1-Assumptions!$N$55)*12</f>
        <v>375160.4012474108</v>
      </c>
      <c r="Z42" s="151">
        <f>+Z34*Assumptions!$F$90*(1-Assumptions!$N$55)*12</f>
        <v>375160.4012474108</v>
      </c>
    </row>
    <row r="43" spans="2:26" x14ac:dyDescent="0.35">
      <c r="B43" s="137" t="s">
        <v>256</v>
      </c>
      <c r="C43" s="137"/>
      <c r="D43" s="137"/>
      <c r="E43" s="137"/>
      <c r="F43" s="129">
        <f t="shared" ref="F43:Z43" si="52">+SUM(F40:F42)</f>
        <v>0</v>
      </c>
      <c r="G43" s="129">
        <f t="shared" si="52"/>
        <v>0</v>
      </c>
      <c r="H43" s="129">
        <f t="shared" si="52"/>
        <v>0</v>
      </c>
      <c r="I43" s="129">
        <f t="shared" si="52"/>
        <v>6733622.3211446982</v>
      </c>
      <c r="J43" s="129">
        <f t="shared" si="52"/>
        <v>13860007.169520658</v>
      </c>
      <c r="K43" s="129">
        <f t="shared" si="52"/>
        <v>14264552.572568854</v>
      </c>
      <c r="L43" s="129">
        <f t="shared" si="52"/>
        <v>14681234.337708497</v>
      </c>
      <c r="M43" s="129">
        <f t="shared" si="52"/>
        <v>15110416.55580233</v>
      </c>
      <c r="N43" s="129">
        <f t="shared" si="52"/>
        <v>15552474.240438981</v>
      </c>
      <c r="O43" s="129">
        <f t="shared" si="52"/>
        <v>16007793.655614726</v>
      </c>
      <c r="P43" s="129">
        <f t="shared" si="52"/>
        <v>16476772.653245745</v>
      </c>
      <c r="Q43" s="129">
        <f t="shared" si="52"/>
        <v>16959821.020805698</v>
      </c>
      <c r="R43" s="129">
        <f t="shared" si="52"/>
        <v>17457360.83939245</v>
      </c>
      <c r="S43" s="129">
        <f t="shared" si="52"/>
        <v>17969826.852536801</v>
      </c>
      <c r="T43" s="129">
        <f t="shared" si="52"/>
        <v>18497666.846075483</v>
      </c>
      <c r="U43" s="129">
        <f t="shared" si="52"/>
        <v>19041342.039420325</v>
      </c>
      <c r="V43" s="129">
        <f t="shared" si="52"/>
        <v>19601327.488565516</v>
      </c>
      <c r="W43" s="129">
        <f t="shared" si="52"/>
        <v>20178112.501185056</v>
      </c>
      <c r="X43" s="129">
        <f t="shared" si="52"/>
        <v>20772201.064183187</v>
      </c>
      <c r="Y43" s="129">
        <f t="shared" si="52"/>
        <v>21384112.284071263</v>
      </c>
      <c r="Z43" s="129">
        <f t="shared" si="52"/>
        <v>22014380.840555977</v>
      </c>
    </row>
    <row r="45" spans="2:26" x14ac:dyDescent="0.35">
      <c r="B45" s="33" t="s">
        <v>395</v>
      </c>
      <c r="F45" s="34">
        <f>+F34*Assumptions!$N$96*F38</f>
        <v>0</v>
      </c>
      <c r="G45" s="34">
        <f>+G34*Assumptions!$N$96*G38</f>
        <v>0</v>
      </c>
      <c r="H45" s="34">
        <f>+H34*Assumptions!$N$96*H38</f>
        <v>0</v>
      </c>
      <c r="I45" s="34">
        <f>+I34*Assumptions!$N$96*I38</f>
        <v>1961473.2046597104</v>
      </c>
      <c r="J45" s="34">
        <f>+J34*Assumptions!$N$96*J38</f>
        <v>4040634.8015990043</v>
      </c>
      <c r="K45" s="34">
        <f>+K34*Assumptions!$N$96*K38</f>
        <v>4161853.8456469742</v>
      </c>
      <c r="L45" s="34">
        <f>+L34*Assumptions!$N$96*L38</f>
        <v>4286709.461016383</v>
      </c>
      <c r="M45" s="34">
        <f>+M34*Assumptions!$N$96*M38</f>
        <v>4415310.7448468748</v>
      </c>
      <c r="N45" s="34">
        <f>+N34*Assumptions!$N$96*N38</f>
        <v>4547770.0671922816</v>
      </c>
      <c r="O45" s="34">
        <f>+O34*Assumptions!$N$96*O38</f>
        <v>4684203.1692080498</v>
      </c>
      <c r="P45" s="34">
        <f>+P34*Assumptions!$N$96*P38</f>
        <v>4824729.2642842913</v>
      </c>
      <c r="Q45" s="34">
        <f>+Q34*Assumptions!$N$96*Q38</f>
        <v>4969471.1422128202</v>
      </c>
      <c r="R45" s="34">
        <f>+R34*Assumptions!$N$96*R38</f>
        <v>5118555.2764792051</v>
      </c>
      <c r="S45" s="34">
        <f>+S34*Assumptions!$N$96*S38</f>
        <v>5272111.934773582</v>
      </c>
      <c r="T45" s="34">
        <f>+T34*Assumptions!$N$96*T38</f>
        <v>5430275.2928167898</v>
      </c>
      <c r="U45" s="34">
        <f>+U34*Assumptions!$N$96*U38</f>
        <v>5593183.5516012935</v>
      </c>
      <c r="V45" s="34">
        <f>+V34*Assumptions!$N$96*V38</f>
        <v>5760979.0581493331</v>
      </c>
      <c r="W45" s="34">
        <f>+W34*Assumptions!$N$96*W38</f>
        <v>5933808.4298938131</v>
      </c>
      <c r="X45" s="34">
        <f>+X34*Assumptions!$N$96*X38</f>
        <v>6111822.6827906268</v>
      </c>
      <c r="Y45" s="34">
        <f>+Y34*Assumptions!$N$96*Y38</f>
        <v>6295177.3632743461</v>
      </c>
      <c r="Z45" s="34">
        <f>+Z34*Assumptions!$N$96*Z38</f>
        <v>6484032.6841725772</v>
      </c>
    </row>
    <row r="46" spans="2:26" x14ac:dyDescent="0.35">
      <c r="B46" s="33" t="s">
        <v>331</v>
      </c>
      <c r="F46" s="151">
        <f ca="1">+IFERROR(INDEX('Taxes and TIF'!$M$11:$M$45,MATCH('Phase I Pro Forma'!F$7,'Taxes and TIF'!$B$11:$B$45,0)),0)*'Loan Sizing'!$I$16*F35</f>
        <v>0</v>
      </c>
      <c r="G46" s="151">
        <f ca="1">+IFERROR(INDEX('Taxes and TIF'!$M$11:$M$45,MATCH('Phase I Pro Forma'!G$7,'Taxes and TIF'!$B$11:$B$45,0)),0)*'Loan Sizing'!$I$16*G35</f>
        <v>0</v>
      </c>
      <c r="H46" s="151">
        <f ca="1">+IFERROR(INDEX('Taxes and TIF'!$M$11:$M$45,MATCH('Phase I Pro Forma'!H$7,'Taxes and TIF'!$B$11:$B$45,0)),0)*'Loan Sizing'!$I$16*H35</f>
        <v>0</v>
      </c>
      <c r="I46" s="151">
        <f ca="1">+IFERROR(INDEX('Taxes and TIF'!$M$11:$M$45,MATCH('Phase I Pro Forma'!I$7,'Taxes and TIF'!$B$11:$B$45,0)),0)*'Loan Sizing'!$I$16*I35</f>
        <v>1318106.6455431797</v>
      </c>
      <c r="J46" s="151">
        <f ca="1">+IFERROR(INDEX('Taxes and TIF'!$M$11:$M$45,MATCH('Phase I Pro Forma'!J$7,'Taxes and TIF'!$B$11:$B$45,0)),0)*'Loan Sizing'!$I$16*J35</f>
        <v>2688937.5569080869</v>
      </c>
      <c r="K46" s="151">
        <f ca="1">+IFERROR(INDEX('Taxes and TIF'!$M$11:$M$45,MATCH('Phase I Pro Forma'!K$7,'Taxes and TIF'!$B$11:$B$45,0)),0)*'Loan Sizing'!$I$16*K35</f>
        <v>2688937.5569080869</v>
      </c>
      <c r="L46" s="151">
        <f ca="1">+IFERROR(INDEX('Taxes and TIF'!$M$11:$M$45,MATCH('Phase I Pro Forma'!L$7,'Taxes and TIF'!$B$11:$B$45,0)),0)*'Loan Sizing'!$I$16*L35</f>
        <v>2688937.5569080869</v>
      </c>
      <c r="M46" s="151">
        <f ca="1">+IFERROR(INDEX('Taxes and TIF'!$M$11:$M$45,MATCH('Phase I Pro Forma'!M$7,'Taxes and TIF'!$B$11:$B$45,0)),0)*'Loan Sizing'!$I$16*M35</f>
        <v>2742716.3080462487</v>
      </c>
      <c r="N46" s="151">
        <f ca="1">+IFERROR(INDEX('Taxes and TIF'!$M$11:$M$45,MATCH('Phase I Pro Forma'!N$7,'Taxes and TIF'!$B$11:$B$45,0)),0)*'Loan Sizing'!$I$16*N35</f>
        <v>2742716.3080462487</v>
      </c>
      <c r="O46" s="151">
        <f ca="1">+IFERROR(INDEX('Taxes and TIF'!$M$11:$M$45,MATCH('Phase I Pro Forma'!O$7,'Taxes and TIF'!$B$11:$B$45,0)),0)*'Loan Sizing'!$I$16*O35</f>
        <v>2742716.3080462487</v>
      </c>
      <c r="P46" s="151">
        <f ca="1">+IFERROR(INDEX('Taxes and TIF'!$M$11:$M$45,MATCH('Phase I Pro Forma'!P$7,'Taxes and TIF'!$B$11:$B$45,0)),0)*'Loan Sizing'!$I$16*P35</f>
        <v>2797570.6342071737</v>
      </c>
      <c r="Q46" s="151">
        <f ca="1">+IFERROR(INDEX('Taxes and TIF'!$M$11:$M$45,MATCH('Phase I Pro Forma'!Q$7,'Taxes and TIF'!$B$11:$B$45,0)),0)*'Loan Sizing'!$I$16*Q35</f>
        <v>2797570.6342071737</v>
      </c>
      <c r="R46" s="151">
        <f ca="1">+IFERROR(INDEX('Taxes and TIF'!$M$11:$M$45,MATCH('Phase I Pro Forma'!R$7,'Taxes and TIF'!$B$11:$B$45,0)),0)*'Loan Sizing'!$I$16*R35</f>
        <v>2797570.6342071737</v>
      </c>
      <c r="S46" s="151">
        <f ca="1">+IFERROR(INDEX('Taxes and TIF'!$M$11:$M$45,MATCH('Phase I Pro Forma'!S$7,'Taxes and TIF'!$B$11:$B$45,0)),0)*'Loan Sizing'!$I$16*S35</f>
        <v>2853522.0468913177</v>
      </c>
      <c r="T46" s="151">
        <f ca="1">+IFERROR(INDEX('Taxes and TIF'!$M$11:$M$45,MATCH('Phase I Pro Forma'!T$7,'Taxes and TIF'!$B$11:$B$45,0)),0)*'Loan Sizing'!$I$16*T35</f>
        <v>2853522.0468913177</v>
      </c>
      <c r="U46" s="151">
        <f ca="1">+IFERROR(INDEX('Taxes and TIF'!$M$11:$M$45,MATCH('Phase I Pro Forma'!U$7,'Taxes and TIF'!$B$11:$B$45,0)),0)*'Loan Sizing'!$I$16*U35</f>
        <v>2853522.0468913177</v>
      </c>
      <c r="V46" s="151">
        <f ca="1">+IFERROR(INDEX('Taxes and TIF'!$M$11:$M$45,MATCH('Phase I Pro Forma'!V$7,'Taxes and TIF'!$B$11:$B$45,0)),0)*'Loan Sizing'!$I$16*V35</f>
        <v>2910592.4878291441</v>
      </c>
      <c r="W46" s="151">
        <f ca="1">+IFERROR(INDEX('Taxes and TIF'!$M$11:$M$45,MATCH('Phase I Pro Forma'!W$7,'Taxes and TIF'!$B$11:$B$45,0)),0)*'Loan Sizing'!$I$16*W35</f>
        <v>2910592.4878291441</v>
      </c>
      <c r="X46" s="151">
        <f ca="1">+IFERROR(INDEX('Taxes and TIF'!$M$11:$M$45,MATCH('Phase I Pro Forma'!X$7,'Taxes and TIF'!$B$11:$B$45,0)),0)*'Loan Sizing'!$I$16*X35</f>
        <v>2910592.4878291441</v>
      </c>
      <c r="Y46" s="151">
        <f ca="1">+IFERROR(INDEX('Taxes and TIF'!$M$11:$M$45,MATCH('Phase I Pro Forma'!Y$7,'Taxes and TIF'!$B$11:$B$45,0)),0)*'Loan Sizing'!$I$16*Y35</f>
        <v>2968804.3375857263</v>
      </c>
      <c r="Z46" s="151">
        <f ca="1">+IFERROR(INDEX('Taxes and TIF'!$M$11:$M$45,MATCH('Phase I Pro Forma'!Z$7,'Taxes and TIF'!$B$11:$B$45,0)),0)*'Loan Sizing'!$I$16*Z35</f>
        <v>2968804.3375857263</v>
      </c>
    </row>
    <row r="47" spans="2:26" x14ac:dyDescent="0.35">
      <c r="B47" s="137" t="s">
        <v>252</v>
      </c>
      <c r="C47" s="137"/>
      <c r="D47" s="137"/>
      <c r="E47" s="137"/>
      <c r="F47" s="129">
        <f ca="1">+SUM(F45:F46)</f>
        <v>0</v>
      </c>
      <c r="G47" s="129">
        <f t="shared" ref="G47" ca="1" si="53">+SUM(G45:G46)</f>
        <v>0</v>
      </c>
      <c r="H47" s="129">
        <f t="shared" ref="H47" ca="1" si="54">+SUM(H45:H46)</f>
        <v>0</v>
      </c>
      <c r="I47" s="129">
        <f t="shared" ref="I47" ca="1" si="55">+SUM(I45:I46)</f>
        <v>3279579.8502028901</v>
      </c>
      <c r="J47" s="129">
        <f t="shared" ref="J47" ca="1" si="56">+SUM(J45:J46)</f>
        <v>6729572.3585070912</v>
      </c>
      <c r="K47" s="129">
        <f t="shared" ref="K47" ca="1" si="57">+SUM(K45:K46)</f>
        <v>6850791.4025550615</v>
      </c>
      <c r="L47" s="129">
        <f t="shared" ref="L47" ca="1" si="58">+SUM(L45:L46)</f>
        <v>6975647.0179244699</v>
      </c>
      <c r="M47" s="129">
        <f t="shared" ref="M47" ca="1" si="59">+SUM(M45:M46)</f>
        <v>7158027.0528931236</v>
      </c>
      <c r="N47" s="129">
        <f t="shared" ref="N47" ca="1" si="60">+SUM(N45:N46)</f>
        <v>7290486.3752385303</v>
      </c>
      <c r="O47" s="129">
        <f t="shared" ref="O47" ca="1" si="61">+SUM(O45:O46)</f>
        <v>7426919.4772542985</v>
      </c>
      <c r="P47" s="129">
        <f t="shared" ref="P47" ca="1" si="62">+SUM(P45:P46)</f>
        <v>7622299.8984914646</v>
      </c>
      <c r="Q47" s="129">
        <f t="shared" ref="Q47" ca="1" si="63">+SUM(Q45:Q46)</f>
        <v>7767041.7764199935</v>
      </c>
      <c r="R47" s="129">
        <f t="shared" ref="R47" ca="1" si="64">+SUM(R45:R46)</f>
        <v>7916125.9106863793</v>
      </c>
      <c r="S47" s="129">
        <f t="shared" ref="S47" ca="1" si="65">+SUM(S45:S46)</f>
        <v>8125633.9816648997</v>
      </c>
      <c r="T47" s="129">
        <f t="shared" ref="T47" ca="1" si="66">+SUM(T45:T46)</f>
        <v>8283797.3397081075</v>
      </c>
      <c r="U47" s="129">
        <f t="shared" ref="U47" ca="1" si="67">+SUM(U45:U46)</f>
        <v>8446705.5984926112</v>
      </c>
      <c r="V47" s="129">
        <f t="shared" ref="V47" ca="1" si="68">+SUM(V45:V46)</f>
        <v>8671571.5459784772</v>
      </c>
      <c r="W47" s="129">
        <f t="shared" ref="W47" ca="1" si="69">+SUM(W45:W46)</f>
        <v>8844400.9177229572</v>
      </c>
      <c r="X47" s="129">
        <f t="shared" ref="X47" ca="1" si="70">+SUM(X45:X46)</f>
        <v>9022415.1706197709</v>
      </c>
      <c r="Y47" s="129">
        <f t="shared" ref="Y47" ca="1" si="71">+SUM(Y45:Y46)</f>
        <v>9263981.7008600719</v>
      </c>
      <c r="Z47" s="129">
        <f t="shared" ref="Z47" ca="1" si="72">+SUM(Z45:Z46)</f>
        <v>9452837.021758303</v>
      </c>
    </row>
    <row r="48" spans="2:26" x14ac:dyDescent="0.35">
      <c r="B48" s="33"/>
    </row>
    <row r="49" spans="1:26" x14ac:dyDescent="0.35">
      <c r="A49" s="108"/>
      <c r="B49" s="138" t="s">
        <v>251</v>
      </c>
      <c r="C49" s="138"/>
      <c r="D49" s="138"/>
      <c r="E49" s="138"/>
      <c r="F49" s="139">
        <f ca="1">+F43-F47</f>
        <v>0</v>
      </c>
      <c r="G49" s="139">
        <f t="shared" ref="G49:Z49" ca="1" si="73">+G43-G47</f>
        <v>0</v>
      </c>
      <c r="H49" s="139">
        <f t="shared" ca="1" si="73"/>
        <v>0</v>
      </c>
      <c r="I49" s="139">
        <f t="shared" ca="1" si="73"/>
        <v>3454042.4709418081</v>
      </c>
      <c r="J49" s="139">
        <f t="shared" ca="1" si="73"/>
        <v>7130434.8110135663</v>
      </c>
      <c r="K49" s="139">
        <f t="shared" ca="1" si="73"/>
        <v>7413761.1700137928</v>
      </c>
      <c r="L49" s="139">
        <f t="shared" ca="1" si="73"/>
        <v>7705587.3197840275</v>
      </c>
      <c r="M49" s="139">
        <f t="shared" ca="1" si="73"/>
        <v>7952389.5029092068</v>
      </c>
      <c r="N49" s="139">
        <f t="shared" ca="1" si="73"/>
        <v>8261987.8652004506</v>
      </c>
      <c r="O49" s="139">
        <f t="shared" ca="1" si="73"/>
        <v>8580874.1783604287</v>
      </c>
      <c r="P49" s="139">
        <f t="shared" ca="1" si="73"/>
        <v>8854472.7547542807</v>
      </c>
      <c r="Q49" s="139">
        <f t="shared" ca="1" si="73"/>
        <v>9192779.2443857044</v>
      </c>
      <c r="R49" s="139">
        <f t="shared" ca="1" si="73"/>
        <v>9541234.9287060704</v>
      </c>
      <c r="S49" s="139">
        <f t="shared" ca="1" si="73"/>
        <v>9844192.8708719015</v>
      </c>
      <c r="T49" s="139">
        <f t="shared" ca="1" si="73"/>
        <v>10213869.506367374</v>
      </c>
      <c r="U49" s="139">
        <f t="shared" ca="1" si="73"/>
        <v>10594636.440927714</v>
      </c>
      <c r="V49" s="139">
        <f t="shared" ca="1" si="73"/>
        <v>10929755.942587039</v>
      </c>
      <c r="W49" s="139">
        <f t="shared" ca="1" si="73"/>
        <v>11333711.583462099</v>
      </c>
      <c r="X49" s="139">
        <f t="shared" ca="1" si="73"/>
        <v>11749785.893563416</v>
      </c>
      <c r="Y49" s="139">
        <f t="shared" ca="1" si="73"/>
        <v>12120130.583211191</v>
      </c>
      <c r="Z49" s="139">
        <f t="shared" ca="1" si="73"/>
        <v>12561543.818797674</v>
      </c>
    </row>
    <row r="50" spans="1:26" x14ac:dyDescent="0.35">
      <c r="B50" s="143" t="s">
        <v>257</v>
      </c>
      <c r="C50" s="141"/>
      <c r="D50" s="141"/>
      <c r="E50" s="141"/>
      <c r="F50" s="144" t="str">
        <f ca="1">+IFERROR(F49/F43,"")</f>
        <v/>
      </c>
      <c r="G50" s="144" t="str">
        <f t="shared" ref="G50" ca="1" si="74">+IFERROR(G49/G43,"")</f>
        <v/>
      </c>
      <c r="H50" s="144" t="str">
        <f t="shared" ref="H50" ca="1" si="75">+IFERROR(H49/H43,"")</f>
        <v/>
      </c>
      <c r="I50" s="145">
        <f t="shared" ref="I50" ca="1" si="76">+IFERROR(I49/I43,"")</f>
        <v>0.51295458910659986</v>
      </c>
      <c r="J50" s="145">
        <f t="shared" ref="J50" ca="1" si="77">+IFERROR(J49/J43,"")</f>
        <v>0.51446111995482968</v>
      </c>
      <c r="K50" s="145">
        <f t="shared" ref="K50" ca="1" si="78">+IFERROR(K49/K43,"")</f>
        <v>0.51973317300331379</v>
      </c>
      <c r="L50" s="145">
        <f t="shared" ref="L50" ca="1" si="79">+IFERROR(L49/L43,"")</f>
        <v>0.52485963663098545</v>
      </c>
      <c r="M50" s="145">
        <f t="shared" ref="M50" ca="1" si="80">+IFERROR(M49/M43,"")</f>
        <v>0.52628525981009611</v>
      </c>
      <c r="N50" s="145">
        <f t="shared" ref="N50" ca="1" si="81">+IFERROR(N49/N43,"")</f>
        <v>0.53123302038449471</v>
      </c>
      <c r="O50" s="145">
        <f t="shared" ref="O50" ca="1" si="82">+IFERROR(O49/O43,"")</f>
        <v>0.53604352748204565</v>
      </c>
      <c r="P50" s="145">
        <f t="shared" ref="P50" ca="1" si="83">+IFERROR(P49/P43,"")</f>
        <v>0.53739120767743587</v>
      </c>
      <c r="Q50" s="145">
        <f t="shared" ref="Q50" ca="1" si="84">+IFERROR(Q49/Q43,"")</f>
        <v>0.54203279817094374</v>
      </c>
      <c r="R50" s="145">
        <f t="shared" ref="R50" ca="1" si="85">+IFERROR(R49/R43,"")</f>
        <v>0.54654509444384747</v>
      </c>
      <c r="S50" s="145">
        <f t="shared" ref="S50" ca="1" si="86">+IFERROR(S49/S43,"")</f>
        <v>0.54781790340301451</v>
      </c>
      <c r="T50" s="145">
        <f t="shared" ref="T50" ca="1" si="87">+IFERROR(T49/T43,"")</f>
        <v>0.55217069219377668</v>
      </c>
      <c r="U50" s="145">
        <f t="shared" ref="U50" ca="1" si="88">+IFERROR(U49/U43,"")</f>
        <v>0.55640177141895641</v>
      </c>
      <c r="V50" s="145">
        <f t="shared" ref="V50" ca="1" si="89">+IFERROR(V49/V43,"")</f>
        <v>0.55760284342797395</v>
      </c>
      <c r="W50" s="145">
        <f t="shared" ref="W50" ca="1" si="90">+IFERROR(W49/W43,"")</f>
        <v>0.56168343708047386</v>
      </c>
      <c r="X50" s="145">
        <f t="shared" ref="X50" ca="1" si="91">+IFERROR(X49/X43,"")</f>
        <v>0.56564953599564272</v>
      </c>
      <c r="Y50" s="145">
        <f t="shared" ref="Y50" ca="1" si="92">+IFERROR(Y49/Y43,"")</f>
        <v>0.56678203061248011</v>
      </c>
      <c r="Z50" s="145">
        <f t="shared" ref="Z50" ca="1" si="93">+IFERROR(Z49/Z43,"")</f>
        <v>0.57060627367980199</v>
      </c>
    </row>
    <row r="51" spans="1:26" x14ac:dyDescent="0.35">
      <c r="B51" s="143" t="s">
        <v>191</v>
      </c>
      <c r="C51" s="141"/>
      <c r="D51" s="141"/>
      <c r="E51" s="141"/>
      <c r="F51" s="142">
        <f ca="1">+F49/Assumptions!$N$129</f>
        <v>0</v>
      </c>
      <c r="G51" s="142">
        <f ca="1">+G49/Assumptions!$N$129</f>
        <v>0</v>
      </c>
      <c r="H51" s="142">
        <f ca="1">+H49/Assumptions!$N$129</f>
        <v>0</v>
      </c>
      <c r="I51" s="142">
        <f ca="1">+I49/Assumptions!$N$129</f>
        <v>62800772.198941968</v>
      </c>
      <c r="J51" s="142">
        <f ca="1">+J49/Assumptions!$N$129</f>
        <v>129644269.29115576</v>
      </c>
      <c r="K51" s="142">
        <f ca="1">+K49/Assumptions!$N$129</f>
        <v>134795657.63661441</v>
      </c>
      <c r="L51" s="142">
        <f ca="1">+L49/Assumptions!$N$129</f>
        <v>140101587.63243687</v>
      </c>
      <c r="M51" s="142">
        <f ca="1">+M49/Assumptions!$N$129</f>
        <v>144588900.05289468</v>
      </c>
      <c r="N51" s="142">
        <f ca="1">+N49/Assumptions!$N$129</f>
        <v>150217961.18546274</v>
      </c>
      <c r="O51" s="142">
        <f ca="1">+O49/Assumptions!$N$129</f>
        <v>156015894.15200779</v>
      </c>
      <c r="P51" s="142">
        <f ca="1">+P49/Assumptions!$N$129</f>
        <v>160990413.72280511</v>
      </c>
      <c r="Q51" s="142">
        <f ca="1">+Q49/Assumptions!$N$129</f>
        <v>167141440.8070128</v>
      </c>
      <c r="R51" s="142">
        <f ca="1">+R49/Assumptions!$N$129</f>
        <v>173476998.70374674</v>
      </c>
      <c r="S51" s="142">
        <f ca="1">+S49/Assumptions!$N$129</f>
        <v>178985324.92494366</v>
      </c>
      <c r="T51" s="142">
        <f ca="1">+T49/Assumptions!$N$129</f>
        <v>185706718.29758862</v>
      </c>
      <c r="U51" s="142">
        <f ca="1">+U49/Assumptions!$N$129</f>
        <v>192629753.47141299</v>
      </c>
      <c r="V51" s="142">
        <f ca="1">+V49/Assumptions!$N$129</f>
        <v>198722835.31976435</v>
      </c>
      <c r="W51" s="142">
        <f ca="1">+W49/Assumptions!$N$129</f>
        <v>206067483.33567452</v>
      </c>
      <c r="X51" s="142">
        <f ca="1">+X49/Assumptions!$N$129</f>
        <v>213632470.7920621</v>
      </c>
      <c r="Y51" s="142">
        <f ca="1">+Y49/Assumptions!$N$129</f>
        <v>220366010.60383984</v>
      </c>
      <c r="Z51" s="142">
        <f ca="1">+Z49/Assumptions!$N$129</f>
        <v>228391705.79632133</v>
      </c>
    </row>
    <row r="53" spans="1:26" x14ac:dyDescent="0.35">
      <c r="B53" s="148" t="s">
        <v>25</v>
      </c>
      <c r="C53" s="149"/>
      <c r="D53" s="149"/>
      <c r="E53" s="149"/>
      <c r="F53" s="150">
        <f>+Assumptions!$F$22</f>
        <v>44196</v>
      </c>
      <c r="G53" s="150">
        <f>+EOMONTH(F53,12)</f>
        <v>44561</v>
      </c>
      <c r="H53" s="150">
        <f t="shared" ref="H53:Z53" si="94">+EOMONTH(G53,12)</f>
        <v>44926</v>
      </c>
      <c r="I53" s="150">
        <f t="shared" si="94"/>
        <v>45291</v>
      </c>
      <c r="J53" s="150">
        <f t="shared" si="94"/>
        <v>45657</v>
      </c>
      <c r="K53" s="150">
        <f t="shared" si="94"/>
        <v>46022</v>
      </c>
      <c r="L53" s="150">
        <f t="shared" si="94"/>
        <v>46387</v>
      </c>
      <c r="M53" s="150">
        <f t="shared" si="94"/>
        <v>46752</v>
      </c>
      <c r="N53" s="150">
        <f t="shared" si="94"/>
        <v>47118</v>
      </c>
      <c r="O53" s="150">
        <f t="shared" si="94"/>
        <v>47483</v>
      </c>
      <c r="P53" s="150">
        <f t="shared" si="94"/>
        <v>47848</v>
      </c>
      <c r="Q53" s="150">
        <f t="shared" si="94"/>
        <v>48213</v>
      </c>
      <c r="R53" s="150">
        <f t="shared" si="94"/>
        <v>48579</v>
      </c>
      <c r="S53" s="150">
        <f t="shared" si="94"/>
        <v>48944</v>
      </c>
      <c r="T53" s="150">
        <f t="shared" si="94"/>
        <v>49309</v>
      </c>
      <c r="U53" s="150">
        <f t="shared" si="94"/>
        <v>49674</v>
      </c>
      <c r="V53" s="150">
        <f t="shared" si="94"/>
        <v>50040</v>
      </c>
      <c r="W53" s="150">
        <f t="shared" si="94"/>
        <v>50405</v>
      </c>
      <c r="X53" s="150">
        <f t="shared" si="94"/>
        <v>50770</v>
      </c>
      <c r="Y53" s="150">
        <f t="shared" si="94"/>
        <v>51135</v>
      </c>
      <c r="Z53" s="150">
        <f t="shared" si="94"/>
        <v>51501</v>
      </c>
    </row>
    <row r="54" spans="1:26" x14ac:dyDescent="0.35">
      <c r="B54" s="33" t="s">
        <v>766</v>
      </c>
      <c r="C54" s="33"/>
      <c r="D54" s="40"/>
      <c r="E54" s="40"/>
      <c r="F54" s="42">
        <f>+IF(AND(F53&gt;=Assumptions!$F$26,F53&lt;Assumptions!$F$28),Assumptions!$F$137/ROUNDUP((Assumptions!$F$27/12),0),0)</f>
        <v>0</v>
      </c>
      <c r="G54" s="42">
        <f>+IF(AND(G53&gt;=Assumptions!$F$26,G53&lt;Assumptions!$F$28),Assumptions!$F$137/ROUNDUP((Assumptions!$F$27/12),0),0)</f>
        <v>0</v>
      </c>
      <c r="H54" s="42">
        <f>+IF(AND(H53&gt;=Assumptions!$F$26,H53&lt;Assumptions!$F$28),Assumptions!$F$137/ROUNDUP((Assumptions!$F$27/12),0),0)</f>
        <v>0</v>
      </c>
      <c r="I54" s="42">
        <f>+IF(AND(I53&gt;=Assumptions!$F$26,I53&lt;Assumptions!$F$28),Assumptions!$F$137/ROUNDUP((Assumptions!$F$27/12),0),0)</f>
        <v>107100</v>
      </c>
      <c r="J54" s="42">
        <f>+IF(AND(J53&gt;=Assumptions!$F$26,J53&lt;Assumptions!$F$28),Assumptions!$F$137/ROUNDUP((Assumptions!$F$27/12),0),0)</f>
        <v>107100</v>
      </c>
      <c r="K54" s="42">
        <f>+IF(AND(K53&gt;=Assumptions!$F$26,K53&lt;Assumptions!$F$28),Assumptions!$F$137/ROUNDUP((Assumptions!$F$27/12),0),0)</f>
        <v>0</v>
      </c>
      <c r="L54" s="42">
        <f>+IF(AND(L53&gt;=Assumptions!$F$26,L53&lt;Assumptions!$F$28),Assumptions!$F$137/ROUNDUP((Assumptions!$F$27/12),0),0)</f>
        <v>0</v>
      </c>
      <c r="M54" s="42">
        <f>+IF(AND(M53&gt;=Assumptions!$F$26,M53&lt;Assumptions!$F$28),Assumptions!$F$137/ROUNDUP((Assumptions!$F$27/12),0),0)</f>
        <v>0</v>
      </c>
      <c r="N54" s="42">
        <f>+IF(AND(N53&gt;=Assumptions!$F$26,N53&lt;Assumptions!$F$28),Assumptions!$F$137/ROUNDUP((Assumptions!$F$27/12),0),0)</f>
        <v>0</v>
      </c>
      <c r="O54" s="42">
        <f>+IF(AND(O53&gt;=Assumptions!$F$26,O53&lt;Assumptions!$F$28),Assumptions!$F$137/ROUNDUP((Assumptions!$F$27/12),0),0)</f>
        <v>0</v>
      </c>
      <c r="P54" s="42">
        <f>+IF(AND(P53&gt;=Assumptions!$F$26,P53&lt;Assumptions!$F$28),Assumptions!$F$137/ROUNDUP((Assumptions!$F$27/12),0),0)</f>
        <v>0</v>
      </c>
      <c r="Q54" s="42">
        <f>+IF(AND(Q53&gt;=Assumptions!$F$26,Q53&lt;Assumptions!$F$28),Assumptions!$F$137/ROUNDUP((Assumptions!$F$27/12),0),0)</f>
        <v>0</v>
      </c>
      <c r="R54" s="42">
        <f>+IF(AND(R53&gt;=Assumptions!$F$26,R53&lt;Assumptions!$F$28),Assumptions!$F$137/ROUNDUP((Assumptions!$F$27/12),0),0)</f>
        <v>0</v>
      </c>
      <c r="S54" s="42">
        <f>+IF(AND(S53&gt;=Assumptions!$F$26,S53&lt;Assumptions!$F$28),Assumptions!$F$137/ROUNDUP((Assumptions!$F$27/12),0),0)</f>
        <v>0</v>
      </c>
      <c r="T54" s="42">
        <f>+IF(AND(T53&gt;=Assumptions!$F$26,T53&lt;Assumptions!$F$28),Assumptions!$F$137/ROUNDUP((Assumptions!$F$27/12),0),0)</f>
        <v>0</v>
      </c>
      <c r="U54" s="42">
        <f>+IF(AND(U53&gt;=Assumptions!$F$26,U53&lt;Assumptions!$F$28),Assumptions!$F$137/ROUNDUP((Assumptions!$F$27/12),0),0)</f>
        <v>0</v>
      </c>
      <c r="V54" s="42">
        <f>+IF(AND(V53&gt;=Assumptions!$F$26,V53&lt;Assumptions!$F$28),Assumptions!$F$137/ROUNDUP((Assumptions!$F$27/12),0),0)</f>
        <v>0</v>
      </c>
      <c r="W54" s="42">
        <f>+IF(AND(W53&gt;=Assumptions!$F$26,W53&lt;Assumptions!$F$28),Assumptions!$F$137/ROUNDUP((Assumptions!$F$27/12),0),0)</f>
        <v>0</v>
      </c>
      <c r="X54" s="42">
        <f>+IF(AND(X53&gt;=Assumptions!$F$26,X53&lt;Assumptions!$F$28),Assumptions!$F$137/ROUNDUP((Assumptions!$F$27/12),0),0)</f>
        <v>0</v>
      </c>
      <c r="Y54" s="42">
        <f>+IF(AND(Y53&gt;=Assumptions!$F$26,Y53&lt;Assumptions!$F$28),Assumptions!$F$137/ROUNDUP((Assumptions!$F$27/12),0),0)</f>
        <v>0</v>
      </c>
      <c r="Z54" s="42">
        <f>+IF(AND(Z53&gt;=Assumptions!$F$26,Z53&lt;Assumptions!$F$28),Assumptions!$F$137/ROUNDUP((Assumptions!$F$27/12),0),0)</f>
        <v>0</v>
      </c>
    </row>
    <row r="55" spans="1:26" x14ac:dyDescent="0.35">
      <c r="B55" s="33" t="s">
        <v>249</v>
      </c>
      <c r="C55" s="33"/>
      <c r="D55" s="42">
        <v>0</v>
      </c>
      <c r="E55" s="42"/>
      <c r="F55" s="42">
        <f>+D55+F54</f>
        <v>0</v>
      </c>
      <c r="G55" s="42">
        <f t="shared" ref="G55:Z55" si="95">+F55+G54</f>
        <v>0</v>
      </c>
      <c r="H55" s="42">
        <f t="shared" si="95"/>
        <v>0</v>
      </c>
      <c r="I55" s="42">
        <f t="shared" si="95"/>
        <v>107100</v>
      </c>
      <c r="J55" s="42">
        <f t="shared" si="95"/>
        <v>214200</v>
      </c>
      <c r="K55" s="42">
        <f t="shared" si="95"/>
        <v>214200</v>
      </c>
      <c r="L55" s="42">
        <f t="shared" si="95"/>
        <v>214200</v>
      </c>
      <c r="M55" s="42">
        <f t="shared" si="95"/>
        <v>214200</v>
      </c>
      <c r="N55" s="42">
        <f t="shared" si="95"/>
        <v>214200</v>
      </c>
      <c r="O55" s="42">
        <f t="shared" si="95"/>
        <v>214200</v>
      </c>
      <c r="P55" s="42">
        <f t="shared" si="95"/>
        <v>214200</v>
      </c>
      <c r="Q55" s="42">
        <f t="shared" si="95"/>
        <v>214200</v>
      </c>
      <c r="R55" s="42">
        <f t="shared" si="95"/>
        <v>214200</v>
      </c>
      <c r="S55" s="42">
        <f t="shared" si="95"/>
        <v>214200</v>
      </c>
      <c r="T55" s="42">
        <f t="shared" si="95"/>
        <v>214200</v>
      </c>
      <c r="U55" s="42">
        <f t="shared" si="95"/>
        <v>214200</v>
      </c>
      <c r="V55" s="42">
        <f t="shared" si="95"/>
        <v>214200</v>
      </c>
      <c r="W55" s="42">
        <f t="shared" si="95"/>
        <v>214200</v>
      </c>
      <c r="X55" s="42">
        <f t="shared" si="95"/>
        <v>214200</v>
      </c>
      <c r="Y55" s="42">
        <f t="shared" si="95"/>
        <v>214200</v>
      </c>
      <c r="Z55" s="42">
        <f t="shared" si="95"/>
        <v>214200</v>
      </c>
    </row>
    <row r="56" spans="1:26" x14ac:dyDescent="0.35">
      <c r="B56" s="33" t="s">
        <v>306</v>
      </c>
      <c r="C56" s="33"/>
      <c r="D56" s="42"/>
      <c r="E56" s="42"/>
      <c r="F56" s="108">
        <f t="shared" ref="F56:Z56" si="96">+F55/SUM($F54:$Z54)</f>
        <v>0</v>
      </c>
      <c r="G56" s="108">
        <f t="shared" si="96"/>
        <v>0</v>
      </c>
      <c r="H56" s="108">
        <f t="shared" si="96"/>
        <v>0</v>
      </c>
      <c r="I56" s="108">
        <f t="shared" si="96"/>
        <v>0.5</v>
      </c>
      <c r="J56" s="108">
        <f t="shared" si="96"/>
        <v>1</v>
      </c>
      <c r="K56" s="108">
        <f t="shared" si="96"/>
        <v>1</v>
      </c>
      <c r="L56" s="108">
        <f t="shared" si="96"/>
        <v>1</v>
      </c>
      <c r="M56" s="108">
        <f t="shared" si="96"/>
        <v>1</v>
      </c>
      <c r="N56" s="108">
        <f t="shared" si="96"/>
        <v>1</v>
      </c>
      <c r="O56" s="108">
        <f t="shared" si="96"/>
        <v>1</v>
      </c>
      <c r="P56" s="108">
        <f t="shared" si="96"/>
        <v>1</v>
      </c>
      <c r="Q56" s="108">
        <f t="shared" si="96"/>
        <v>1</v>
      </c>
      <c r="R56" s="108">
        <f t="shared" si="96"/>
        <v>1</v>
      </c>
      <c r="S56" s="108">
        <f t="shared" si="96"/>
        <v>1</v>
      </c>
      <c r="T56" s="108">
        <f t="shared" si="96"/>
        <v>1</v>
      </c>
      <c r="U56" s="108">
        <f t="shared" si="96"/>
        <v>1</v>
      </c>
      <c r="V56" s="108">
        <f t="shared" si="96"/>
        <v>1</v>
      </c>
      <c r="W56" s="108">
        <f t="shared" si="96"/>
        <v>1</v>
      </c>
      <c r="X56" s="108">
        <f t="shared" si="96"/>
        <v>1</v>
      </c>
      <c r="Y56" s="108">
        <f t="shared" si="96"/>
        <v>1</v>
      </c>
      <c r="Z56" s="108">
        <f t="shared" si="96"/>
        <v>1</v>
      </c>
    </row>
    <row r="57" spans="1:26" x14ac:dyDescent="0.35">
      <c r="B57" s="33"/>
      <c r="C57" s="33"/>
      <c r="D57" s="40"/>
      <c r="E57" s="40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x14ac:dyDescent="0.35">
      <c r="B58" s="33" t="s">
        <v>254</v>
      </c>
      <c r="C58" s="33"/>
      <c r="D58" s="42"/>
      <c r="E58" s="42"/>
      <c r="F58" s="108">
        <v>1</v>
      </c>
      <c r="G58" s="108">
        <f>+IF(MOD(G$2,Assumptions!$N$66)=(Assumptions!$N$66-1),F58*(1+Assumptions!$N$65),'Phase I Pro Forma'!F58)</f>
        <v>1</v>
      </c>
      <c r="H58" s="108">
        <f>+IF(MOD(H$2,Assumptions!$N$66)=(Assumptions!$N$66-1),G58*(1+Assumptions!$N$65),'Phase I Pro Forma'!G58)</f>
        <v>1</v>
      </c>
      <c r="I58" s="108">
        <f>+IF(MOD(I$2,Assumptions!$N$66)=(Assumptions!$N$66-1),H58*(1+Assumptions!$N$65),'Phase I Pro Forma'!H58)</f>
        <v>1</v>
      </c>
      <c r="J58" s="108">
        <f>+IF(MOD(J$2,Assumptions!$N$66)=(Assumptions!$N$66-1),I58*(1+Assumptions!$N$65),'Phase I Pro Forma'!I58)</f>
        <v>1</v>
      </c>
      <c r="K58" s="108">
        <f>+IF(MOD(K$2,Assumptions!$N$66)=(Assumptions!$N$66-1),J58*(1+Assumptions!$N$65),'Phase I Pro Forma'!J58)</f>
        <v>1</v>
      </c>
      <c r="L58" s="108">
        <f>+IF(MOD(L$2,Assumptions!$N$66)=(Assumptions!$N$66-1),K58*(1+Assumptions!$N$65),'Phase I Pro Forma'!K58)</f>
        <v>1.1000000000000001</v>
      </c>
      <c r="M58" s="108">
        <f>+IF(MOD(M$2,Assumptions!$N$66)=(Assumptions!$N$66-1),L58*(1+Assumptions!$N$65),'Phase I Pro Forma'!L58)</f>
        <v>1.1000000000000001</v>
      </c>
      <c r="N58" s="108">
        <f>+IF(MOD(N$2,Assumptions!$N$66)=(Assumptions!$N$66-1),M58*(1+Assumptions!$N$65),'Phase I Pro Forma'!M58)</f>
        <v>1.1000000000000001</v>
      </c>
      <c r="O58" s="108">
        <f>+IF(MOD(O$2,Assumptions!$N$66)=(Assumptions!$N$66-1),N58*(1+Assumptions!$N$65),'Phase I Pro Forma'!N58)</f>
        <v>1.1000000000000001</v>
      </c>
      <c r="P58" s="108">
        <f>+IF(MOD(P$2,Assumptions!$N$66)=(Assumptions!$N$66-1),O58*(1+Assumptions!$N$65),'Phase I Pro Forma'!O58)</f>
        <v>1.1000000000000001</v>
      </c>
      <c r="Q58" s="108">
        <f>+IF(MOD(Q$2,Assumptions!$N$66)=(Assumptions!$N$66-1),P58*(1+Assumptions!$N$65),'Phase I Pro Forma'!P58)</f>
        <v>1.2100000000000002</v>
      </c>
      <c r="R58" s="108">
        <f>+IF(MOD(R$2,Assumptions!$N$66)=(Assumptions!$N$66-1),Q58*(1+Assumptions!$N$65),'Phase I Pro Forma'!Q58)</f>
        <v>1.2100000000000002</v>
      </c>
      <c r="S58" s="108">
        <f>+IF(MOD(S$2,Assumptions!$N$66)=(Assumptions!$N$66-1),R58*(1+Assumptions!$N$65),'Phase I Pro Forma'!R58)</f>
        <v>1.2100000000000002</v>
      </c>
      <c r="T58" s="108">
        <f>+IF(MOD(T$2,Assumptions!$N$66)=(Assumptions!$N$66-1),S58*(1+Assumptions!$N$65),'Phase I Pro Forma'!S58)</f>
        <v>1.2100000000000002</v>
      </c>
      <c r="U58" s="108">
        <f>+IF(MOD(U$2,Assumptions!$N$66)=(Assumptions!$N$66-1),T58*(1+Assumptions!$N$65),'Phase I Pro Forma'!T58)</f>
        <v>1.2100000000000002</v>
      </c>
      <c r="V58" s="108">
        <f>+IF(MOD(V$2,Assumptions!$N$66)=(Assumptions!$N$66-1),U58*(1+Assumptions!$N$65),'Phase I Pro Forma'!U58)</f>
        <v>1.3310000000000004</v>
      </c>
      <c r="W58" s="108">
        <f>+IF(MOD(W$2,Assumptions!$N$66)=(Assumptions!$N$66-1),V58*(1+Assumptions!$N$65),'Phase I Pro Forma'!V58)</f>
        <v>1.3310000000000004</v>
      </c>
      <c r="X58" s="108">
        <f>+IF(MOD(X$2,Assumptions!$N$66)=(Assumptions!$N$66-1),W58*(1+Assumptions!$N$65),'Phase I Pro Forma'!W58)</f>
        <v>1.3310000000000004</v>
      </c>
      <c r="Y58" s="108">
        <f>+IF(MOD(Y$2,Assumptions!$N$66)=(Assumptions!$N$66-1),X58*(1+Assumptions!$N$65),'Phase I Pro Forma'!X58)</f>
        <v>1.3310000000000004</v>
      </c>
      <c r="Z58" s="108">
        <f>+IF(MOD(Z$2,Assumptions!$N$66)=(Assumptions!$N$66-1),Y58*(1+Assumptions!$N$65),'Phase I Pro Forma'!Y58)</f>
        <v>1.3310000000000004</v>
      </c>
    </row>
    <row r="59" spans="1:26" x14ac:dyDescent="0.35">
      <c r="B59" s="33" t="s">
        <v>255</v>
      </c>
      <c r="C59" s="33"/>
      <c r="D59" s="42"/>
      <c r="E59" s="42"/>
      <c r="F59" s="108">
        <v>1</v>
      </c>
      <c r="G59" s="108">
        <f>+F59*(1+Assumptions!$N$78)</f>
        <v>1.03</v>
      </c>
      <c r="H59" s="108">
        <f>+G59*(1+Assumptions!$N$78)</f>
        <v>1.0609</v>
      </c>
      <c r="I59" s="108">
        <f>+H59*(1+Assumptions!$N$78)</f>
        <v>1.092727</v>
      </c>
      <c r="J59" s="108">
        <f>+I59*(1+Assumptions!$N$78)</f>
        <v>1.1255088100000001</v>
      </c>
      <c r="K59" s="108">
        <f>+J59*(1+Assumptions!$N$78)</f>
        <v>1.1592740743000001</v>
      </c>
      <c r="L59" s="108">
        <f>+K59*(1+Assumptions!$N$78)</f>
        <v>1.1940522965290001</v>
      </c>
      <c r="M59" s="108">
        <f>+L59*(1+Assumptions!$N$78)</f>
        <v>1.2298738654248702</v>
      </c>
      <c r="N59" s="108">
        <f>+M59*(1+Assumptions!$N$78)</f>
        <v>1.2667700813876164</v>
      </c>
      <c r="O59" s="108">
        <f>+N59*(1+Assumptions!$N$78)</f>
        <v>1.3047731838292449</v>
      </c>
      <c r="P59" s="108">
        <f>+O59*(1+Assumptions!$N$78)</f>
        <v>1.3439163793441222</v>
      </c>
      <c r="Q59" s="108">
        <f>+P59*(1+Assumptions!$N$78)</f>
        <v>1.3842338707244459</v>
      </c>
      <c r="R59" s="108">
        <f>+Q59*(1+Assumptions!$N$78)</f>
        <v>1.4257608868461793</v>
      </c>
      <c r="S59" s="108">
        <f>+R59*(1+Assumptions!$N$78)</f>
        <v>1.4685337134515648</v>
      </c>
      <c r="T59" s="108">
        <f>+S59*(1+Assumptions!$N$78)</f>
        <v>1.5125897248551119</v>
      </c>
      <c r="U59" s="108">
        <f>+T59*(1+Assumptions!$N$78)</f>
        <v>1.5579674166007653</v>
      </c>
      <c r="V59" s="108">
        <f>+U59*(1+Assumptions!$N$78)</f>
        <v>1.6047064390987884</v>
      </c>
      <c r="W59" s="108">
        <f>+V59*(1+Assumptions!$N$78)</f>
        <v>1.652847632271752</v>
      </c>
      <c r="X59" s="108">
        <f>+W59*(1+Assumptions!$N$78)</f>
        <v>1.7024330612399046</v>
      </c>
      <c r="Y59" s="108">
        <f>+X59*(1+Assumptions!$N$78)</f>
        <v>1.7535060530771018</v>
      </c>
      <c r="Z59" s="108">
        <f>+Y59*(1+Assumptions!$N$78)</f>
        <v>1.806111234669415</v>
      </c>
    </row>
    <row r="60" spans="1:26" x14ac:dyDescent="0.35">
      <c r="B60" s="33"/>
      <c r="C60" s="33"/>
      <c r="D60" s="40"/>
      <c r="E60" s="40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x14ac:dyDescent="0.35">
      <c r="B61" s="33" t="s">
        <v>246</v>
      </c>
      <c r="C61" s="33"/>
      <c r="D61" s="40"/>
      <c r="E61" s="40"/>
      <c r="F61" s="34">
        <f>+F56*Assumptions!$F$136*F58</f>
        <v>0</v>
      </c>
      <c r="G61" s="34">
        <f>+G56*Assumptions!$F$136*G58</f>
        <v>0</v>
      </c>
      <c r="H61" s="34">
        <f>+H56*Assumptions!$F$136*H58</f>
        <v>0</v>
      </c>
      <c r="I61" s="34">
        <f>+I56*Assumptions!$F$136*I58</f>
        <v>2578050</v>
      </c>
      <c r="J61" s="34">
        <f>+J56*Assumptions!$F$136*J58</f>
        <v>5156100</v>
      </c>
      <c r="K61" s="34">
        <f>+K56*Assumptions!$F$136*K58</f>
        <v>5156100</v>
      </c>
      <c r="L61" s="34">
        <f>+L56*Assumptions!$F$136*L58</f>
        <v>5671710</v>
      </c>
      <c r="M61" s="34">
        <f>+M56*Assumptions!$F$136*M58</f>
        <v>5671710</v>
      </c>
      <c r="N61" s="34">
        <f>+N56*Assumptions!$F$136*N58</f>
        <v>5671710</v>
      </c>
      <c r="O61" s="34">
        <f>+O56*Assumptions!$F$136*O58</f>
        <v>5671710</v>
      </c>
      <c r="P61" s="34">
        <f>+P56*Assumptions!$F$136*P58</f>
        <v>5671710</v>
      </c>
      <c r="Q61" s="34">
        <f>+Q56*Assumptions!$F$136*Q58</f>
        <v>6238881.0000000009</v>
      </c>
      <c r="R61" s="34">
        <f>+R56*Assumptions!$F$136*R58</f>
        <v>6238881.0000000009</v>
      </c>
      <c r="S61" s="34">
        <f>+S56*Assumptions!$F$136*S58</f>
        <v>6238881.0000000009</v>
      </c>
      <c r="T61" s="34">
        <f>+T56*Assumptions!$F$136*T58</f>
        <v>6238881.0000000009</v>
      </c>
      <c r="U61" s="34">
        <f>+U56*Assumptions!$F$136*U58</f>
        <v>6238881.0000000009</v>
      </c>
      <c r="V61" s="34">
        <f>+V56*Assumptions!$F$136*V58</f>
        <v>6862769.1000000024</v>
      </c>
      <c r="W61" s="34">
        <f>+W56*Assumptions!$F$136*W58</f>
        <v>6862769.1000000024</v>
      </c>
      <c r="X61" s="34">
        <f>+X56*Assumptions!$F$136*X58</f>
        <v>6862769.1000000024</v>
      </c>
      <c r="Y61" s="34">
        <f>+Y56*Assumptions!$F$136*Y58</f>
        <v>6862769.1000000024</v>
      </c>
      <c r="Z61" s="34">
        <f>+Z56*Assumptions!$F$136*Z58</f>
        <v>6862769.1000000024</v>
      </c>
    </row>
    <row r="62" spans="1:26" x14ac:dyDescent="0.35">
      <c r="B62" s="33" t="s">
        <v>247</v>
      </c>
      <c r="C62" s="33"/>
      <c r="D62" s="40"/>
      <c r="E62" s="40"/>
      <c r="F62" s="42">
        <f>-F61*Assumptions!$N$56</f>
        <v>0</v>
      </c>
      <c r="G62" s="42">
        <f>-G61*Assumptions!$N$56</f>
        <v>0</v>
      </c>
      <c r="H62" s="42">
        <f>-H61*Assumptions!$N$56</f>
        <v>0</v>
      </c>
      <c r="I62" s="42">
        <f>-I61*Assumptions!$N$56</f>
        <v>-257805</v>
      </c>
      <c r="J62" s="42">
        <f>-J61*Assumptions!$N$56</f>
        <v>-515610</v>
      </c>
      <c r="K62" s="42">
        <f>-K61*Assumptions!$N$56</f>
        <v>-515610</v>
      </c>
      <c r="L62" s="42">
        <f>-L61*Assumptions!$N$56</f>
        <v>-567171</v>
      </c>
      <c r="M62" s="42">
        <f>-M61*Assumptions!$N$56</f>
        <v>-567171</v>
      </c>
      <c r="N62" s="42">
        <f>-N61*Assumptions!$N$56</f>
        <v>-567171</v>
      </c>
      <c r="O62" s="42">
        <f>-O61*Assumptions!$N$56</f>
        <v>-567171</v>
      </c>
      <c r="P62" s="42">
        <f>-P61*Assumptions!$N$56</f>
        <v>-567171</v>
      </c>
      <c r="Q62" s="42">
        <f>-Q61*Assumptions!$N$56</f>
        <v>-623888.10000000009</v>
      </c>
      <c r="R62" s="42">
        <f>-R61*Assumptions!$N$56</f>
        <v>-623888.10000000009</v>
      </c>
      <c r="S62" s="42">
        <f>-S61*Assumptions!$N$56</f>
        <v>-623888.10000000009</v>
      </c>
      <c r="T62" s="42">
        <f>-T61*Assumptions!$N$56</f>
        <v>-623888.10000000009</v>
      </c>
      <c r="U62" s="42">
        <f>-U61*Assumptions!$N$56</f>
        <v>-623888.10000000009</v>
      </c>
      <c r="V62" s="42">
        <f>-V61*Assumptions!$N$56</f>
        <v>-686276.91000000027</v>
      </c>
      <c r="W62" s="42">
        <f>-W61*Assumptions!$N$56</f>
        <v>-686276.91000000027</v>
      </c>
      <c r="X62" s="42">
        <f>-X61*Assumptions!$N$56</f>
        <v>-686276.91000000027</v>
      </c>
      <c r="Y62" s="42">
        <f>-Y61*Assumptions!$N$56</f>
        <v>-686276.91000000027</v>
      </c>
      <c r="Z62" s="42">
        <f>-Z61*Assumptions!$N$56</f>
        <v>-686276.91000000027</v>
      </c>
    </row>
    <row r="63" spans="1:26" x14ac:dyDescent="0.35">
      <c r="B63" s="33" t="s">
        <v>262</v>
      </c>
      <c r="C63" s="33"/>
      <c r="D63" s="40"/>
      <c r="E63" s="40"/>
      <c r="F63" s="151">
        <f ca="1">+F68*Assumptions!$N$89</f>
        <v>0</v>
      </c>
      <c r="G63" s="151">
        <f ca="1">+G68*Assumptions!$N$89</f>
        <v>0</v>
      </c>
      <c r="H63" s="151">
        <f ca="1">+H68*Assumptions!$N$89</f>
        <v>0</v>
      </c>
      <c r="I63" s="151">
        <f ca="1">+I68*Assumptions!$N$89</f>
        <v>1224664.8086231423</v>
      </c>
      <c r="J63" s="151">
        <f ca="1">+J68*Assumptions!$N$89</f>
        <v>2511423.6885016104</v>
      </c>
      <c r="K63" s="151">
        <f ca="1">+K68*Assumptions!$N$89</f>
        <v>2551925.7983347462</v>
      </c>
      <c r="L63" s="151">
        <f ca="1">+L68*Assumptions!$N$89</f>
        <v>2593642.9714628765</v>
      </c>
      <c r="M63" s="151">
        <f ca="1">+M68*Assumptions!$N$89</f>
        <v>2659838.7269994589</v>
      </c>
      <c r="N63" s="151">
        <f ca="1">+N68*Assumptions!$N$89</f>
        <v>2704096.475971092</v>
      </c>
      <c r="O63" s="151">
        <f ca="1">+O68*Assumptions!$N$89</f>
        <v>2749681.9574118741</v>
      </c>
      <c r="P63" s="151">
        <f ca="1">+P68*Assumptions!$N$89</f>
        <v>2820326.6118547805</v>
      </c>
      <c r="Q63" s="151">
        <f ca="1">+Q68*Assumptions!$N$89</f>
        <v>2868688.2491153064</v>
      </c>
      <c r="R63" s="151">
        <f ca="1">+R68*Assumptions!$N$89</f>
        <v>2918500.7354936474</v>
      </c>
      <c r="S63" s="151">
        <f ca="1">+S68*Assumptions!$N$89</f>
        <v>2993973.0371934185</v>
      </c>
      <c r="T63" s="151">
        <f ca="1">+T68*Assumptions!$N$89</f>
        <v>3046819.1039922009</v>
      </c>
      <c r="U63" s="151">
        <f ca="1">+U68*Assumptions!$N$89</f>
        <v>3101250.5527949478</v>
      </c>
      <c r="V63" s="151">
        <f ca="1">+V68*Assumptions!$N$89</f>
        <v>3181963.694606456</v>
      </c>
      <c r="W63" s="151">
        <f ca="1">+W68*Assumptions!$N$89</f>
        <v>3239710.0186412893</v>
      </c>
      <c r="X63" s="151">
        <f ca="1">+X68*Assumptions!$N$89</f>
        <v>3299188.7323971675</v>
      </c>
      <c r="Y63" s="151">
        <f ca="1">+Y68*Assumptions!$N$89</f>
        <v>3385593.5321012959</v>
      </c>
      <c r="Z63" s="151">
        <f ca="1">+Z68*Assumptions!$N$89</f>
        <v>3448694.4995249072</v>
      </c>
    </row>
    <row r="64" spans="1:26" x14ac:dyDescent="0.35">
      <c r="B64" s="137" t="s">
        <v>256</v>
      </c>
      <c r="C64" s="137"/>
      <c r="D64" s="137"/>
      <c r="E64" s="137"/>
      <c r="F64" s="129">
        <f t="shared" ref="F64:Z64" ca="1" si="97">+SUM(F61:F63)</f>
        <v>0</v>
      </c>
      <c r="G64" s="129">
        <f t="shared" ca="1" si="97"/>
        <v>0</v>
      </c>
      <c r="H64" s="129">
        <f t="shared" ca="1" si="97"/>
        <v>0</v>
      </c>
      <c r="I64" s="129">
        <f t="shared" ca="1" si="97"/>
        <v>3544909.8086231425</v>
      </c>
      <c r="J64" s="129">
        <f t="shared" ca="1" si="97"/>
        <v>7151913.6885016104</v>
      </c>
      <c r="K64" s="129">
        <f t="shared" ca="1" si="97"/>
        <v>7192415.7983347457</v>
      </c>
      <c r="L64" s="129">
        <f t="shared" ca="1" si="97"/>
        <v>7698181.9714628765</v>
      </c>
      <c r="M64" s="129">
        <f t="shared" ca="1" si="97"/>
        <v>7764377.7269994589</v>
      </c>
      <c r="N64" s="129">
        <f t="shared" ca="1" si="97"/>
        <v>7808635.4759710915</v>
      </c>
      <c r="O64" s="129">
        <f t="shared" ca="1" si="97"/>
        <v>7854220.9574118741</v>
      </c>
      <c r="P64" s="129">
        <f t="shared" ca="1" si="97"/>
        <v>7924865.6118547805</v>
      </c>
      <c r="Q64" s="129">
        <f t="shared" ca="1" si="97"/>
        <v>8483681.1491153073</v>
      </c>
      <c r="R64" s="129">
        <f t="shared" ca="1" si="97"/>
        <v>8533493.6354936473</v>
      </c>
      <c r="S64" s="129">
        <f t="shared" ca="1" si="97"/>
        <v>8608965.9371934198</v>
      </c>
      <c r="T64" s="129">
        <f t="shared" ca="1" si="97"/>
        <v>8661812.0039922018</v>
      </c>
      <c r="U64" s="129">
        <f t="shared" ca="1" si="97"/>
        <v>8716243.4527949486</v>
      </c>
      <c r="V64" s="129">
        <f t="shared" ca="1" si="97"/>
        <v>9358455.8846064582</v>
      </c>
      <c r="W64" s="129">
        <f t="shared" ca="1" si="97"/>
        <v>9416202.2086412907</v>
      </c>
      <c r="X64" s="129">
        <f t="shared" ca="1" si="97"/>
        <v>9475680.9223971702</v>
      </c>
      <c r="Y64" s="129">
        <f t="shared" ca="1" si="97"/>
        <v>9562085.7221012972</v>
      </c>
      <c r="Z64" s="129">
        <f t="shared" ca="1" si="97"/>
        <v>9625186.6895249095</v>
      </c>
    </row>
    <row r="66" spans="2:26" x14ac:dyDescent="0.35">
      <c r="B66" s="33" t="s">
        <v>395</v>
      </c>
      <c r="F66" s="34">
        <f>+F55*Assumptions!$N$121*'Phase I Pro Forma'!F59</f>
        <v>0</v>
      </c>
      <c r="G66" s="34">
        <f>+G55*Assumptions!$N$121*'Phase I Pro Forma'!G59</f>
        <v>0</v>
      </c>
      <c r="H66" s="34">
        <f>+H55*Assumptions!$N$121*'Phase I Pro Forma'!H59</f>
        <v>0</v>
      </c>
      <c r="I66" s="34">
        <f>+I55*Assumptions!$N$121*'Phase I Pro Forma'!I59</f>
        <v>819217.43189999997</v>
      </c>
      <c r="J66" s="34">
        <f>+J55*Assumptions!$N$121*'Phase I Pro Forma'!J59</f>
        <v>1687587.9097140003</v>
      </c>
      <c r="K66" s="34">
        <f>+K55*Assumptions!$N$121*'Phase I Pro Forma'!K59</f>
        <v>1738215.5470054201</v>
      </c>
      <c r="L66" s="34">
        <f>+L55*Assumptions!$N$121*'Phase I Pro Forma'!L59</f>
        <v>1790362.0134155827</v>
      </c>
      <c r="M66" s="34">
        <f>+M55*Assumptions!$N$121*'Phase I Pro Forma'!M59</f>
        <v>1844072.8738180504</v>
      </c>
      <c r="N66" s="34">
        <f>+N55*Assumptions!$N$121*'Phase I Pro Forma'!N59</f>
        <v>1899395.0600325919</v>
      </c>
      <c r="O66" s="34">
        <f>+O55*Assumptions!$N$121*'Phase I Pro Forma'!O59</f>
        <v>1956376.9118335699</v>
      </c>
      <c r="P66" s="34">
        <f>+P55*Assumptions!$N$121*'Phase I Pro Forma'!P59</f>
        <v>2015068.2191885768</v>
      </c>
      <c r="Q66" s="34">
        <f>+Q55*Assumptions!$N$121*'Phase I Pro Forma'!Q59</f>
        <v>2075520.2657642341</v>
      </c>
      <c r="R66" s="34">
        <f>+R55*Assumptions!$N$121*'Phase I Pro Forma'!R59</f>
        <v>2137785.873737161</v>
      </c>
      <c r="S66" s="34">
        <f>+S55*Assumptions!$N$121*'Phase I Pro Forma'!S59</f>
        <v>2201919.4499492762</v>
      </c>
      <c r="T66" s="34">
        <f>+T55*Assumptions!$N$121*'Phase I Pro Forma'!T59</f>
        <v>2267977.0334477546</v>
      </c>
      <c r="U66" s="34">
        <f>+U55*Assumptions!$N$121*'Phase I Pro Forma'!U59</f>
        <v>2336016.3444511876</v>
      </c>
      <c r="V66" s="34">
        <f>+V55*Assumptions!$N$121*'Phase I Pro Forma'!V59</f>
        <v>2406096.8347847234</v>
      </c>
      <c r="W66" s="34">
        <f>+W55*Assumptions!$N$121*'Phase I Pro Forma'!W59</f>
        <v>2478279.7398282648</v>
      </c>
      <c r="X66" s="34">
        <f>+X55*Assumptions!$N$121*'Phase I Pro Forma'!X59</f>
        <v>2552628.1320231128</v>
      </c>
      <c r="Y66" s="34">
        <f>+Y55*Assumptions!$N$121*'Phase I Pro Forma'!Y59</f>
        <v>2629206.9759838064</v>
      </c>
      <c r="Z66" s="34">
        <f>+Z55*Assumptions!$N$121*'Phase I Pro Forma'!Z59</f>
        <v>2708083.1852633208</v>
      </c>
    </row>
    <row r="67" spans="2:26" x14ac:dyDescent="0.35">
      <c r="B67" s="33" t="s">
        <v>331</v>
      </c>
      <c r="F67" s="151">
        <f ca="1">+IFERROR(INDEX('Taxes and TIF'!$M$11:$M$45,MATCH('Phase I Pro Forma'!F$7,'Taxes and TIF'!$B$11:$B$45,0)),0)*'Loan Sizing'!$I$17*F56</f>
        <v>0</v>
      </c>
      <c r="G67" s="151">
        <f ca="1">+IFERROR(INDEX('Taxes and TIF'!$M$11:$M$45,MATCH('Phase I Pro Forma'!G$7,'Taxes and TIF'!$B$11:$B$45,0)),0)*'Loan Sizing'!$I$17*G56</f>
        <v>0</v>
      </c>
      <c r="H67" s="151">
        <f ca="1">+IFERROR(INDEX('Taxes and TIF'!$M$11:$M$45,MATCH('Phase I Pro Forma'!H$7,'Taxes and TIF'!$B$11:$B$45,0)),0)*'Loan Sizing'!$I$17*H56</f>
        <v>0</v>
      </c>
      <c r="I67" s="151">
        <f ca="1">+IFERROR(INDEX('Taxes and TIF'!$M$11:$M$45,MATCH('Phase I Pro Forma'!I$7,'Taxes and TIF'!$B$11:$B$45,0)),0)*'Loan Sizing'!$I$17*I56</f>
        <v>711613.57887892763</v>
      </c>
      <c r="J67" s="151">
        <f ca="1">+IFERROR(INDEX('Taxes and TIF'!$M$11:$M$45,MATCH('Phase I Pro Forma'!J$7,'Taxes and TIF'!$B$11:$B$45,0)),0)*'Loan Sizing'!$I$17*J56</f>
        <v>1451691.7009130125</v>
      </c>
      <c r="K67" s="151">
        <f ca="1">+IFERROR(INDEX('Taxes and TIF'!$M$11:$M$45,MATCH('Phase I Pro Forma'!K$7,'Taxes and TIF'!$B$11:$B$45,0)),0)*'Loan Sizing'!$I$17*K56</f>
        <v>1451691.7009130125</v>
      </c>
      <c r="L67" s="151">
        <f ca="1">+IFERROR(INDEX('Taxes and TIF'!$M$11:$M$45,MATCH('Phase I Pro Forma'!L$7,'Taxes and TIF'!$B$11:$B$45,0)),0)*'Loan Sizing'!$I$17*L56</f>
        <v>1451691.7009130125</v>
      </c>
      <c r="M67" s="151">
        <f ca="1">+IFERROR(INDEX('Taxes and TIF'!$M$11:$M$45,MATCH('Phase I Pro Forma'!M$7,'Taxes and TIF'!$B$11:$B$45,0)),0)*'Loan Sizing'!$I$17*M56</f>
        <v>1480725.534931273</v>
      </c>
      <c r="N67" s="151">
        <f ca="1">+IFERROR(INDEX('Taxes and TIF'!$M$11:$M$45,MATCH('Phase I Pro Forma'!N$7,'Taxes and TIF'!$B$11:$B$45,0)),0)*'Loan Sizing'!$I$17*N56</f>
        <v>1480725.534931273</v>
      </c>
      <c r="O67" s="151">
        <f ca="1">+IFERROR(INDEX('Taxes and TIF'!$M$11:$M$45,MATCH('Phase I Pro Forma'!O$7,'Taxes and TIF'!$B$11:$B$45,0)),0)*'Loan Sizing'!$I$17*O56</f>
        <v>1480725.534931273</v>
      </c>
      <c r="P67" s="151">
        <f ca="1">+IFERROR(INDEX('Taxes and TIF'!$M$11:$M$45,MATCH('Phase I Pro Forma'!P$7,'Taxes and TIF'!$B$11:$B$45,0)),0)*'Loan Sizing'!$I$17*P56</f>
        <v>1510340.0456298983</v>
      </c>
      <c r="Q67" s="151">
        <f ca="1">+IFERROR(INDEX('Taxes and TIF'!$M$11:$M$45,MATCH('Phase I Pro Forma'!Q$7,'Taxes and TIF'!$B$11:$B$45,0)),0)*'Loan Sizing'!$I$17*Q56</f>
        <v>1510340.0456298983</v>
      </c>
      <c r="R67" s="151">
        <f ca="1">+IFERROR(INDEX('Taxes and TIF'!$M$11:$M$45,MATCH('Phase I Pro Forma'!R$7,'Taxes and TIF'!$B$11:$B$45,0)),0)*'Loan Sizing'!$I$17*R56</f>
        <v>1510340.0456298983</v>
      </c>
      <c r="S67" s="151">
        <f ca="1">+IFERROR(INDEX('Taxes and TIF'!$M$11:$M$45,MATCH('Phase I Pro Forma'!S$7,'Taxes and TIF'!$B$11:$B$45,0)),0)*'Loan Sizing'!$I$17*S56</f>
        <v>1540546.8465424965</v>
      </c>
      <c r="T67" s="151">
        <f ca="1">+IFERROR(INDEX('Taxes and TIF'!$M$11:$M$45,MATCH('Phase I Pro Forma'!T$7,'Taxes and TIF'!$B$11:$B$45,0)),0)*'Loan Sizing'!$I$17*T56</f>
        <v>1540546.8465424965</v>
      </c>
      <c r="U67" s="151">
        <f ca="1">+IFERROR(INDEX('Taxes and TIF'!$M$11:$M$45,MATCH('Phase I Pro Forma'!U$7,'Taxes and TIF'!$B$11:$B$45,0)),0)*'Loan Sizing'!$I$17*U56</f>
        <v>1540546.8465424965</v>
      </c>
      <c r="V67" s="151">
        <f ca="1">+IFERROR(INDEX('Taxes and TIF'!$M$11:$M$45,MATCH('Phase I Pro Forma'!V$7,'Taxes and TIF'!$B$11:$B$45,0)),0)*'Loan Sizing'!$I$17*V56</f>
        <v>1571357.7834733464</v>
      </c>
      <c r="W67" s="151">
        <f ca="1">+IFERROR(INDEX('Taxes and TIF'!$M$11:$M$45,MATCH('Phase I Pro Forma'!W$7,'Taxes and TIF'!$B$11:$B$45,0)),0)*'Loan Sizing'!$I$17*W56</f>
        <v>1571357.7834733464</v>
      </c>
      <c r="X67" s="151">
        <f ca="1">+IFERROR(INDEX('Taxes and TIF'!$M$11:$M$45,MATCH('Phase I Pro Forma'!X$7,'Taxes and TIF'!$B$11:$B$45,0)),0)*'Loan Sizing'!$I$17*X56</f>
        <v>1571357.7834733464</v>
      </c>
      <c r="Y67" s="151">
        <f ca="1">+IFERROR(INDEX('Taxes and TIF'!$M$11:$M$45,MATCH('Phase I Pro Forma'!Y$7,'Taxes and TIF'!$B$11:$B$45,0)),0)*'Loan Sizing'!$I$17*Y56</f>
        <v>1602784.939142813</v>
      </c>
      <c r="Z67" s="151">
        <f ca="1">+IFERROR(INDEX('Taxes and TIF'!$M$11:$M$45,MATCH('Phase I Pro Forma'!Z$7,'Taxes and TIF'!$B$11:$B$45,0)),0)*'Loan Sizing'!$I$17*Z56</f>
        <v>1602784.939142813</v>
      </c>
    </row>
    <row r="68" spans="2:26" x14ac:dyDescent="0.35">
      <c r="B68" s="137" t="s">
        <v>252</v>
      </c>
      <c r="C68" s="137"/>
      <c r="D68" s="137"/>
      <c r="E68" s="137"/>
      <c r="F68" s="129">
        <f ca="1">+SUM(F66:F67)</f>
        <v>0</v>
      </c>
      <c r="G68" s="129">
        <f t="shared" ref="G68" ca="1" si="98">+SUM(G66:G67)</f>
        <v>0</v>
      </c>
      <c r="H68" s="129">
        <f t="shared" ref="H68" ca="1" si="99">+SUM(H66:H67)</f>
        <v>0</v>
      </c>
      <c r="I68" s="129">
        <f t="shared" ref="I68" ca="1" si="100">+SUM(I66:I67)</f>
        <v>1530831.0107789277</v>
      </c>
      <c r="J68" s="129">
        <f t="shared" ref="J68" ca="1" si="101">+SUM(J66:J67)</f>
        <v>3139279.6106270128</v>
      </c>
      <c r="K68" s="129">
        <f t="shared" ref="K68" ca="1" si="102">+SUM(K66:K67)</f>
        <v>3189907.2479184326</v>
      </c>
      <c r="L68" s="129">
        <f t="shared" ref="L68" ca="1" si="103">+SUM(L66:L67)</f>
        <v>3242053.7143285954</v>
      </c>
      <c r="M68" s="129">
        <f t="shared" ref="M68" ca="1" si="104">+SUM(M66:M67)</f>
        <v>3324798.4087493233</v>
      </c>
      <c r="N68" s="129">
        <f t="shared" ref="N68" ca="1" si="105">+SUM(N66:N67)</f>
        <v>3380120.5949638649</v>
      </c>
      <c r="O68" s="129">
        <f t="shared" ref="O68" ca="1" si="106">+SUM(O66:O67)</f>
        <v>3437102.4467648426</v>
      </c>
      <c r="P68" s="129">
        <f t="shared" ref="P68" ca="1" si="107">+SUM(P66:P67)</f>
        <v>3525408.2648184751</v>
      </c>
      <c r="Q68" s="129">
        <f t="shared" ref="Q68" ca="1" si="108">+SUM(Q66:Q67)</f>
        <v>3585860.3113941327</v>
      </c>
      <c r="R68" s="129">
        <f t="shared" ref="R68" ca="1" si="109">+SUM(R66:R67)</f>
        <v>3648125.9193670591</v>
      </c>
      <c r="S68" s="129">
        <f t="shared" ref="S68" ca="1" si="110">+SUM(S66:S67)</f>
        <v>3742466.2964917729</v>
      </c>
      <c r="T68" s="129">
        <f t="shared" ref="T68" ca="1" si="111">+SUM(T66:T67)</f>
        <v>3808523.8799902508</v>
      </c>
      <c r="U68" s="129">
        <f t="shared" ref="U68" ca="1" si="112">+SUM(U66:U67)</f>
        <v>3876563.1909936843</v>
      </c>
      <c r="V68" s="129">
        <f t="shared" ref="V68" ca="1" si="113">+SUM(V66:V67)</f>
        <v>3977454.6182580697</v>
      </c>
      <c r="W68" s="129">
        <f t="shared" ref="W68" ca="1" si="114">+SUM(W66:W67)</f>
        <v>4049637.5233016112</v>
      </c>
      <c r="X68" s="129">
        <f t="shared" ref="X68" ca="1" si="115">+SUM(X66:X67)</f>
        <v>4123985.9154964592</v>
      </c>
      <c r="Y68" s="129">
        <f t="shared" ref="Y68" ca="1" si="116">+SUM(Y66:Y67)</f>
        <v>4231991.9151266199</v>
      </c>
      <c r="Z68" s="129">
        <f t="shared" ref="Z68" ca="1" si="117">+SUM(Z66:Z67)</f>
        <v>4310868.1244061338</v>
      </c>
    </row>
    <row r="69" spans="2:26" x14ac:dyDescent="0.35">
      <c r="B69" s="33"/>
    </row>
    <row r="70" spans="2:26" x14ac:dyDescent="0.35">
      <c r="B70" s="138" t="s">
        <v>251</v>
      </c>
      <c r="C70" s="138"/>
      <c r="D70" s="138"/>
      <c r="E70" s="138"/>
      <c r="F70" s="139">
        <f ca="1">+F64-F68</f>
        <v>0</v>
      </c>
      <c r="G70" s="139">
        <f t="shared" ref="G70:Z70" ca="1" si="118">+G64-G68</f>
        <v>0</v>
      </c>
      <c r="H70" s="139">
        <f t="shared" ca="1" si="118"/>
        <v>0</v>
      </c>
      <c r="I70" s="139">
        <f t="shared" ca="1" si="118"/>
        <v>2014078.7978442148</v>
      </c>
      <c r="J70" s="139">
        <f t="shared" ca="1" si="118"/>
        <v>4012634.0778745976</v>
      </c>
      <c r="K70" s="139">
        <f t="shared" ca="1" si="118"/>
        <v>4002508.5504163131</v>
      </c>
      <c r="L70" s="139">
        <f t="shared" ca="1" si="118"/>
        <v>4456128.2571342811</v>
      </c>
      <c r="M70" s="139">
        <f t="shared" ca="1" si="118"/>
        <v>4439579.3182501355</v>
      </c>
      <c r="N70" s="139">
        <f t="shared" ca="1" si="118"/>
        <v>4428514.8810072262</v>
      </c>
      <c r="O70" s="139">
        <f t="shared" ca="1" si="118"/>
        <v>4417118.5106470315</v>
      </c>
      <c r="P70" s="139">
        <f t="shared" ca="1" si="118"/>
        <v>4399457.3470363058</v>
      </c>
      <c r="Q70" s="139">
        <f t="shared" ca="1" si="118"/>
        <v>4897820.8377211746</v>
      </c>
      <c r="R70" s="139">
        <f t="shared" ca="1" si="118"/>
        <v>4885367.7161265882</v>
      </c>
      <c r="S70" s="139">
        <f t="shared" ca="1" si="118"/>
        <v>4866499.6407016469</v>
      </c>
      <c r="T70" s="139">
        <f t="shared" ca="1" si="118"/>
        <v>4853288.124001951</v>
      </c>
      <c r="U70" s="139">
        <f t="shared" ca="1" si="118"/>
        <v>4839680.2618012642</v>
      </c>
      <c r="V70" s="139">
        <f t="shared" ca="1" si="118"/>
        <v>5381001.266348388</v>
      </c>
      <c r="W70" s="139">
        <f t="shared" ca="1" si="118"/>
        <v>5366564.6853396799</v>
      </c>
      <c r="X70" s="139">
        <f t="shared" ca="1" si="118"/>
        <v>5351695.006900711</v>
      </c>
      <c r="Y70" s="139">
        <f t="shared" ca="1" si="118"/>
        <v>5330093.8069746774</v>
      </c>
      <c r="Z70" s="139">
        <f t="shared" ca="1" si="118"/>
        <v>5314318.5651187757</v>
      </c>
    </row>
    <row r="71" spans="2:26" x14ac:dyDescent="0.35">
      <c r="B71" s="143" t="s">
        <v>257</v>
      </c>
      <c r="C71" s="141"/>
      <c r="D71" s="141"/>
      <c r="E71" s="141"/>
      <c r="F71" s="144" t="str">
        <f ca="1">+IFERROR(F70/F64,"")</f>
        <v/>
      </c>
      <c r="G71" s="144" t="str">
        <f t="shared" ref="G71" ca="1" si="119">+IFERROR(G70/G64,"")</f>
        <v/>
      </c>
      <c r="H71" s="144" t="str">
        <f t="shared" ref="H71" ca="1" si="120">+IFERROR(H70/H64,"")</f>
        <v/>
      </c>
      <c r="I71" s="145">
        <f t="shared" ref="I71" ca="1" si="121">+IFERROR(I70/I64,"")</f>
        <v>0.56816080142430792</v>
      </c>
      <c r="J71" s="145">
        <f t="shared" ref="J71" ca="1" si="122">+IFERROR(J70/J64,"")</f>
        <v>0.56105739703288848</v>
      </c>
      <c r="K71" s="145">
        <f t="shared" ref="K71" ca="1" si="123">+IFERROR(K70/K64,"")</f>
        <v>0.55649015054761031</v>
      </c>
      <c r="L71" s="145">
        <f t="shared" ref="L71" ca="1" si="124">+IFERROR(L70/L64,"")</f>
        <v>0.57885462745010796</v>
      </c>
      <c r="M71" s="145">
        <f t="shared" ref="M71" ca="1" si="125">+IFERROR(M70/M64,"")</f>
        <v>0.57178816826648771</v>
      </c>
      <c r="N71" s="145">
        <f t="shared" ref="N71" ca="1" si="126">+IFERROR(N70/N64,"")</f>
        <v>0.56713044098866594</v>
      </c>
      <c r="O71" s="145">
        <f t="shared" ref="O71" ca="1" si="127">+IFERROR(O70/O64,"")</f>
        <v>0.56238785929222979</v>
      </c>
      <c r="P71" s="145">
        <f t="shared" ref="P71" ca="1" si="128">+IFERROR(P70/P64,"")</f>
        <v>0.55514598764364809</v>
      </c>
      <c r="Q71" s="145">
        <f t="shared" ref="Q71" ca="1" si="129">+IFERROR(Q70/Q64,"")</f>
        <v>0.57732259754150794</v>
      </c>
      <c r="R71" s="145">
        <f t="shared" ref="R71" ca="1" si="130">+IFERROR(R70/R64,"")</f>
        <v>0.57249327471303357</v>
      </c>
      <c r="S71" s="145">
        <f t="shared" ref="S71" ca="1" si="131">+IFERROR(S70/S64,"")</f>
        <v>0.56528271527673835</v>
      </c>
      <c r="T71" s="145">
        <f t="shared" ref="T71" ca="1" si="132">+IFERROR(T70/T64,"")</f>
        <v>0.56030864232161648</v>
      </c>
      <c r="U71" s="145">
        <f t="shared" ref="U71" ca="1" si="133">+IFERROR(U70/U64,"")</f>
        <v>0.55524840351371474</v>
      </c>
      <c r="V71" s="145">
        <f t="shared" ref="V71" ca="1" si="134">+IFERROR(V70/V64,"")</f>
        <v>0.57498815324860297</v>
      </c>
      <c r="W71" s="145">
        <f t="shared" ref="W71" ca="1" si="135">+IFERROR(W70/W64,"")</f>
        <v>0.56992878513322065</v>
      </c>
      <c r="X71" s="145">
        <f t="shared" ref="X71" ca="1" si="136">+IFERROR(X70/X64,"")</f>
        <v>0.56478210386455607</v>
      </c>
      <c r="Y71" s="145">
        <f t="shared" ref="Y71" ca="1" si="137">+IFERROR(Y70/Y64,"")</f>
        <v>0.557419579982951</v>
      </c>
      <c r="Z71" s="145">
        <f t="shared" ref="Z71" ca="1" si="138">+IFERROR(Z70/Z64,"")</f>
        <v>0.55212628456363844</v>
      </c>
    </row>
    <row r="72" spans="2:26" x14ac:dyDescent="0.35">
      <c r="B72" s="143" t="s">
        <v>191</v>
      </c>
      <c r="C72" s="141"/>
      <c r="D72" s="141"/>
      <c r="E72" s="141"/>
      <c r="F72" s="142">
        <f ca="1">+F70/Assumptions!$N$130</f>
        <v>0</v>
      </c>
      <c r="G72" s="142">
        <f ca="1">+G70/Assumptions!$N$130</f>
        <v>0</v>
      </c>
      <c r="H72" s="142">
        <f ca="1">+H70/Assumptions!$N$130</f>
        <v>0</v>
      </c>
      <c r="I72" s="142">
        <f ca="1">+I70/Assumptions!$N$130</f>
        <v>30985827.659141764</v>
      </c>
      <c r="J72" s="142">
        <f ca="1">+J70/Assumptions!$N$130</f>
        <v>61732831.967301503</v>
      </c>
      <c r="K72" s="142">
        <f ca="1">+K70/Assumptions!$N$130</f>
        <v>61577054.621789433</v>
      </c>
      <c r="L72" s="142">
        <f ca="1">+L70/Assumptions!$N$130</f>
        <v>68555819.3405274</v>
      </c>
      <c r="M72" s="142">
        <f ca="1">+M70/Assumptions!$N$130</f>
        <v>68301220.280771315</v>
      </c>
      <c r="N72" s="142">
        <f ca="1">+N70/Assumptions!$N$130</f>
        <v>68130998.169341937</v>
      </c>
      <c r="O72" s="142">
        <f ca="1">+O70/Assumptions!$N$130</f>
        <v>67955669.39456971</v>
      </c>
      <c r="P72" s="142">
        <f ca="1">+P70/Assumptions!$N$130</f>
        <v>67683959.185173929</v>
      </c>
      <c r="Q72" s="142">
        <f ca="1">+Q70/Assumptions!$N$130</f>
        <v>75351089.811094984</v>
      </c>
      <c r="R72" s="142">
        <f ca="1">+R70/Assumptions!$N$130</f>
        <v>75159503.325024426</v>
      </c>
      <c r="S72" s="142">
        <f ca="1">+S70/Assumptions!$N$130</f>
        <v>74869225.241563797</v>
      </c>
      <c r="T72" s="142">
        <f ca="1">+T70/Assumptions!$N$130</f>
        <v>74665971.138491556</v>
      </c>
      <c r="U72" s="142">
        <f ca="1">+U70/Assumptions!$N$130</f>
        <v>74456619.412327141</v>
      </c>
      <c r="V72" s="142">
        <f ca="1">+V70/Assumptions!$N$130</f>
        <v>82784634.866898268</v>
      </c>
      <c r="W72" s="142">
        <f ca="1">+W70/Assumptions!$N$130</f>
        <v>82562533.620610461</v>
      </c>
      <c r="X72" s="142">
        <f ca="1">+X70/Assumptions!$N$130</f>
        <v>82333769.336934015</v>
      </c>
      <c r="Y72" s="142">
        <f ca="1">+Y70/Assumptions!$N$130</f>
        <v>82001443.184225798</v>
      </c>
      <c r="Z72" s="142">
        <f ca="1">+Z70/Assumptions!$N$130</f>
        <v>81758747.155673474</v>
      </c>
    </row>
    <row r="74" spans="2:26" x14ac:dyDescent="0.35">
      <c r="B74" s="148" t="s">
        <v>147</v>
      </c>
      <c r="C74" s="149"/>
      <c r="D74" s="149"/>
      <c r="E74" s="149"/>
      <c r="F74" s="150">
        <f>+Assumptions!$F$22</f>
        <v>44196</v>
      </c>
      <c r="G74" s="150">
        <f>+EOMONTH(F74,12)</f>
        <v>44561</v>
      </c>
      <c r="H74" s="150">
        <f t="shared" ref="H74:Z74" si="139">+EOMONTH(G74,12)</f>
        <v>44926</v>
      </c>
      <c r="I74" s="150">
        <f t="shared" si="139"/>
        <v>45291</v>
      </c>
      <c r="J74" s="150">
        <f t="shared" si="139"/>
        <v>45657</v>
      </c>
      <c r="K74" s="150">
        <f t="shared" si="139"/>
        <v>46022</v>
      </c>
      <c r="L74" s="150">
        <f t="shared" si="139"/>
        <v>46387</v>
      </c>
      <c r="M74" s="150">
        <f t="shared" si="139"/>
        <v>46752</v>
      </c>
      <c r="N74" s="150">
        <f t="shared" si="139"/>
        <v>47118</v>
      </c>
      <c r="O74" s="150">
        <f t="shared" si="139"/>
        <v>47483</v>
      </c>
      <c r="P74" s="150">
        <f t="shared" si="139"/>
        <v>47848</v>
      </c>
      <c r="Q74" s="150">
        <f t="shared" si="139"/>
        <v>48213</v>
      </c>
      <c r="R74" s="150">
        <f t="shared" si="139"/>
        <v>48579</v>
      </c>
      <c r="S74" s="150">
        <f t="shared" si="139"/>
        <v>48944</v>
      </c>
      <c r="T74" s="150">
        <f t="shared" si="139"/>
        <v>49309</v>
      </c>
      <c r="U74" s="150">
        <f t="shared" si="139"/>
        <v>49674</v>
      </c>
      <c r="V74" s="150">
        <f t="shared" si="139"/>
        <v>50040</v>
      </c>
      <c r="W74" s="150">
        <f t="shared" si="139"/>
        <v>50405</v>
      </c>
      <c r="X74" s="150">
        <f t="shared" si="139"/>
        <v>50770</v>
      </c>
      <c r="Y74" s="150">
        <f t="shared" si="139"/>
        <v>51135</v>
      </c>
      <c r="Z74" s="150">
        <f t="shared" si="139"/>
        <v>51501</v>
      </c>
    </row>
    <row r="75" spans="2:26" x14ac:dyDescent="0.35">
      <c r="B75" s="33" t="s">
        <v>766</v>
      </c>
      <c r="C75" s="33"/>
      <c r="D75" s="40"/>
      <c r="E75" s="40"/>
      <c r="F75" s="42">
        <f>+IF(AND(F74&gt;=Assumptions!$F$26,F74&lt;Assumptions!$F$28),Assumptions!$F$154/ROUNDUP((Assumptions!$F$27/12),0),0)</f>
        <v>0</v>
      </c>
      <c r="G75" s="42">
        <f>+IF(AND(G74&gt;=Assumptions!$F$26,G74&lt;Assumptions!$F$28),Assumptions!$F$154/ROUNDUP((Assumptions!$F$27/12),0),0)</f>
        <v>0</v>
      </c>
      <c r="H75" s="42">
        <f>+IF(AND(H74&gt;=Assumptions!$F$26,H74&lt;Assumptions!$F$28),Assumptions!$F$154/ROUNDUP((Assumptions!$F$27/12),0),0)</f>
        <v>0</v>
      </c>
      <c r="I75" s="42">
        <f>+IF(AND(I74&gt;=Assumptions!$F$26,I74&lt;Assumptions!$F$28),Assumptions!$F$154/ROUNDUP((Assumptions!$F$27/12),0),0)</f>
        <v>39562.5</v>
      </c>
      <c r="J75" s="42">
        <f>+IF(AND(J74&gt;=Assumptions!$F$26,J74&lt;Assumptions!$F$28),Assumptions!$F$154/ROUNDUP((Assumptions!$F$27/12),0),0)</f>
        <v>39562.5</v>
      </c>
      <c r="K75" s="42">
        <f>+IF(AND(K74&gt;=Assumptions!$F$26,K74&lt;Assumptions!$F$28),Assumptions!$F$154/ROUNDUP((Assumptions!$F$27/12),0),0)</f>
        <v>0</v>
      </c>
      <c r="L75" s="42">
        <f>+IF(AND(L74&gt;=Assumptions!$F$26,L74&lt;Assumptions!$F$28),Assumptions!$F$154/ROUNDUP((Assumptions!$F$27/12),0),0)</f>
        <v>0</v>
      </c>
      <c r="M75" s="42">
        <f>+IF(AND(M74&gt;=Assumptions!$F$26,M74&lt;Assumptions!$F$28),Assumptions!$F$154/ROUNDUP((Assumptions!$F$27/12),0),0)</f>
        <v>0</v>
      </c>
      <c r="N75" s="42">
        <f>+IF(AND(N74&gt;=Assumptions!$F$26,N74&lt;Assumptions!$F$28),Assumptions!$F$154/ROUNDUP((Assumptions!$F$27/12),0),0)</f>
        <v>0</v>
      </c>
      <c r="O75" s="42">
        <f>+IF(AND(O74&gt;=Assumptions!$F$26,O74&lt;Assumptions!$F$28),Assumptions!$F$154/ROUNDUP((Assumptions!$F$27/12),0),0)</f>
        <v>0</v>
      </c>
      <c r="P75" s="42">
        <f>+IF(AND(P74&gt;=Assumptions!$F$26,P74&lt;Assumptions!$F$28),Assumptions!$F$154/ROUNDUP((Assumptions!$F$27/12),0),0)</f>
        <v>0</v>
      </c>
      <c r="Q75" s="42">
        <f>+IF(AND(Q74&gt;=Assumptions!$F$26,Q74&lt;Assumptions!$F$28),Assumptions!$F$154/ROUNDUP((Assumptions!$F$27/12),0),0)</f>
        <v>0</v>
      </c>
      <c r="R75" s="42">
        <f>+IF(AND(R74&gt;=Assumptions!$F$26,R74&lt;Assumptions!$F$28),Assumptions!$F$154/ROUNDUP((Assumptions!$F$27/12),0),0)</f>
        <v>0</v>
      </c>
      <c r="S75" s="42">
        <f>+IF(AND(S74&gt;=Assumptions!$F$26,S74&lt;Assumptions!$F$28),Assumptions!$F$154/ROUNDUP((Assumptions!$F$27/12),0),0)</f>
        <v>0</v>
      </c>
      <c r="T75" s="42">
        <f>+IF(AND(T74&gt;=Assumptions!$F$26,T74&lt;Assumptions!$F$28),Assumptions!$F$154/ROUNDUP((Assumptions!$F$27/12),0),0)</f>
        <v>0</v>
      </c>
      <c r="U75" s="42">
        <f>+IF(AND(U74&gt;=Assumptions!$F$26,U74&lt;Assumptions!$F$28),Assumptions!$F$154/ROUNDUP((Assumptions!$F$27/12),0),0)</f>
        <v>0</v>
      </c>
      <c r="V75" s="42">
        <f>+IF(AND(V74&gt;=Assumptions!$F$26,V74&lt;Assumptions!$F$28),Assumptions!$F$154/ROUNDUP((Assumptions!$F$27/12),0),0)</f>
        <v>0</v>
      </c>
      <c r="W75" s="42">
        <f>+IF(AND(W74&gt;=Assumptions!$F$26,W74&lt;Assumptions!$F$28),Assumptions!$F$154/ROUNDUP((Assumptions!$F$27/12),0),0)</f>
        <v>0</v>
      </c>
      <c r="X75" s="42">
        <f>+IF(AND(X74&gt;=Assumptions!$F$26,X74&lt;Assumptions!$F$28),Assumptions!$F$154/ROUNDUP((Assumptions!$F$27/12),0),0)</f>
        <v>0</v>
      </c>
      <c r="Y75" s="42">
        <f>+IF(AND(Y74&gt;=Assumptions!$F$26,Y74&lt;Assumptions!$F$28),Assumptions!$F$154/ROUNDUP((Assumptions!$F$27/12),0),0)</f>
        <v>0</v>
      </c>
      <c r="Z75" s="42">
        <f>+IF(AND(Z74&gt;=Assumptions!$F$26,Z74&lt;Assumptions!$F$28),Assumptions!$F$154/ROUNDUP((Assumptions!$F$27/12),0),0)</f>
        <v>0</v>
      </c>
    </row>
    <row r="76" spans="2:26" x14ac:dyDescent="0.35">
      <c r="B76" s="33" t="s">
        <v>249</v>
      </c>
      <c r="C76" s="33"/>
      <c r="D76" s="42">
        <v>0</v>
      </c>
      <c r="E76" s="42"/>
      <c r="F76" s="42">
        <f>+D76+F75</f>
        <v>0</v>
      </c>
      <c r="G76" s="42">
        <f t="shared" ref="G76" si="140">+F76+G75</f>
        <v>0</v>
      </c>
      <c r="H76" s="42">
        <f t="shared" ref="H76" si="141">+G76+H75</f>
        <v>0</v>
      </c>
      <c r="I76" s="42">
        <f t="shared" ref="I76" si="142">+H76+I75</f>
        <v>39562.5</v>
      </c>
      <c r="J76" s="42">
        <f t="shared" ref="J76" si="143">+I76+J75</f>
        <v>79125</v>
      </c>
      <c r="K76" s="42">
        <f t="shared" ref="K76" si="144">+J76+K75</f>
        <v>79125</v>
      </c>
      <c r="L76" s="42">
        <f t="shared" ref="L76" si="145">+K76+L75</f>
        <v>79125</v>
      </c>
      <c r="M76" s="42">
        <f t="shared" ref="M76" si="146">+L76+M75</f>
        <v>79125</v>
      </c>
      <c r="N76" s="42">
        <f t="shared" ref="N76" si="147">+M76+N75</f>
        <v>79125</v>
      </c>
      <c r="O76" s="42">
        <f t="shared" ref="O76" si="148">+N76+O75</f>
        <v>79125</v>
      </c>
      <c r="P76" s="42">
        <f t="shared" ref="P76" si="149">+O76+P75</f>
        <v>79125</v>
      </c>
      <c r="Q76" s="42">
        <f t="shared" ref="Q76" si="150">+P76+Q75</f>
        <v>79125</v>
      </c>
      <c r="R76" s="42">
        <f t="shared" ref="R76" si="151">+Q76+R75</f>
        <v>79125</v>
      </c>
      <c r="S76" s="42">
        <f t="shared" ref="S76" si="152">+R76+S75</f>
        <v>79125</v>
      </c>
      <c r="T76" s="42">
        <f t="shared" ref="T76" si="153">+S76+T75</f>
        <v>79125</v>
      </c>
      <c r="U76" s="42">
        <f t="shared" ref="U76" si="154">+T76+U75</f>
        <v>79125</v>
      </c>
      <c r="V76" s="42">
        <f t="shared" ref="V76" si="155">+U76+V75</f>
        <v>79125</v>
      </c>
      <c r="W76" s="42">
        <f t="shared" ref="W76" si="156">+V76+W75</f>
        <v>79125</v>
      </c>
      <c r="X76" s="42">
        <f t="shared" ref="X76" si="157">+W76+X75</f>
        <v>79125</v>
      </c>
      <c r="Y76" s="42">
        <f t="shared" ref="Y76" si="158">+X76+Y75</f>
        <v>79125</v>
      </c>
      <c r="Z76" s="42">
        <f t="shared" ref="Z76" si="159">+Y76+Z75</f>
        <v>79125</v>
      </c>
    </row>
    <row r="77" spans="2:26" x14ac:dyDescent="0.35">
      <c r="B77" s="33" t="s">
        <v>306</v>
      </c>
      <c r="C77" s="33"/>
      <c r="D77" s="42"/>
      <c r="E77" s="42"/>
      <c r="F77" s="108">
        <f t="shared" ref="F77:Z77" si="160">+F76/SUM($F75:$Z75)</f>
        <v>0</v>
      </c>
      <c r="G77" s="108">
        <f t="shared" si="160"/>
        <v>0</v>
      </c>
      <c r="H77" s="108">
        <f t="shared" si="160"/>
        <v>0</v>
      </c>
      <c r="I77" s="108">
        <f t="shared" si="160"/>
        <v>0.5</v>
      </c>
      <c r="J77" s="108">
        <f t="shared" si="160"/>
        <v>1</v>
      </c>
      <c r="K77" s="108">
        <f t="shared" si="160"/>
        <v>1</v>
      </c>
      <c r="L77" s="108">
        <f t="shared" si="160"/>
        <v>1</v>
      </c>
      <c r="M77" s="108">
        <f t="shared" si="160"/>
        <v>1</v>
      </c>
      <c r="N77" s="108">
        <f t="shared" si="160"/>
        <v>1</v>
      </c>
      <c r="O77" s="108">
        <f t="shared" si="160"/>
        <v>1</v>
      </c>
      <c r="P77" s="108">
        <f t="shared" si="160"/>
        <v>1</v>
      </c>
      <c r="Q77" s="108">
        <f t="shared" si="160"/>
        <v>1</v>
      </c>
      <c r="R77" s="108">
        <f t="shared" si="160"/>
        <v>1</v>
      </c>
      <c r="S77" s="108">
        <f t="shared" si="160"/>
        <v>1</v>
      </c>
      <c r="T77" s="108">
        <f t="shared" si="160"/>
        <v>1</v>
      </c>
      <c r="U77" s="108">
        <f t="shared" si="160"/>
        <v>1</v>
      </c>
      <c r="V77" s="108">
        <f t="shared" si="160"/>
        <v>1</v>
      </c>
      <c r="W77" s="108">
        <f t="shared" si="160"/>
        <v>1</v>
      </c>
      <c r="X77" s="108">
        <f t="shared" si="160"/>
        <v>1</v>
      </c>
      <c r="Y77" s="108">
        <f t="shared" si="160"/>
        <v>1</v>
      </c>
      <c r="Z77" s="108">
        <f t="shared" si="160"/>
        <v>1</v>
      </c>
    </row>
    <row r="78" spans="2:26" x14ac:dyDescent="0.35">
      <c r="B78" s="33"/>
      <c r="C78" s="33"/>
      <c r="D78" s="40"/>
      <c r="E78" s="40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2:26" x14ac:dyDescent="0.35">
      <c r="B79" s="33" t="s">
        <v>254</v>
      </c>
      <c r="C79" s="33"/>
      <c r="D79" s="42"/>
      <c r="E79" s="42"/>
      <c r="F79" s="108">
        <v>1</v>
      </c>
      <c r="G79" s="108">
        <f>+IF(MOD(G$2,Assumptions!$N$69)=(Assumptions!$N$69-1),F79*(1+Assumptions!$N$68),'Phase I Pro Forma'!F79)</f>
        <v>1</v>
      </c>
      <c r="H79" s="108">
        <f>+IF(MOD(H$2,Assumptions!$N$69)=(Assumptions!$N$69-1),G79*(1+Assumptions!$N$68),'Phase I Pro Forma'!G79)</f>
        <v>1</v>
      </c>
      <c r="I79" s="108">
        <f>+IF(MOD(I$2,Assumptions!$N$69)=(Assumptions!$N$69-1),H79*(1+Assumptions!$N$68),'Phase I Pro Forma'!H79)</f>
        <v>1</v>
      </c>
      <c r="J79" s="108">
        <f>+IF(MOD(J$2,Assumptions!$N$69)=(Assumptions!$N$69-1),I79*(1+Assumptions!$N$68),'Phase I Pro Forma'!I79)</f>
        <v>1</v>
      </c>
      <c r="K79" s="108">
        <f>+IF(MOD(K$2,Assumptions!$N$69)=(Assumptions!$N$69-1),J79*(1+Assumptions!$N$68),'Phase I Pro Forma'!J79)</f>
        <v>1</v>
      </c>
      <c r="L79" s="108">
        <f>+IF(MOD(L$2,Assumptions!$N$69)=(Assumptions!$N$69-1),K79*(1+Assumptions!$N$68),'Phase I Pro Forma'!K79)</f>
        <v>1.05</v>
      </c>
      <c r="M79" s="108">
        <f>+IF(MOD(M$2,Assumptions!$N$69)=(Assumptions!$N$69-1),L79*(1+Assumptions!$N$68),'Phase I Pro Forma'!L79)</f>
        <v>1.05</v>
      </c>
      <c r="N79" s="108">
        <f>+IF(MOD(N$2,Assumptions!$N$69)=(Assumptions!$N$69-1),M79*(1+Assumptions!$N$68),'Phase I Pro Forma'!M79)</f>
        <v>1.05</v>
      </c>
      <c r="O79" s="108">
        <f>+IF(MOD(O$2,Assumptions!$N$69)=(Assumptions!$N$69-1),N79*(1+Assumptions!$N$68),'Phase I Pro Forma'!N79)</f>
        <v>1.05</v>
      </c>
      <c r="P79" s="108">
        <f>+IF(MOD(P$2,Assumptions!$N$69)=(Assumptions!$N$69-1),O79*(1+Assumptions!$N$68),'Phase I Pro Forma'!O79)</f>
        <v>1.05</v>
      </c>
      <c r="Q79" s="108">
        <f>+IF(MOD(Q$2,Assumptions!$N$69)=(Assumptions!$N$69-1),P79*(1+Assumptions!$N$68),'Phase I Pro Forma'!P79)</f>
        <v>1.1025</v>
      </c>
      <c r="R79" s="108">
        <f>+IF(MOD(R$2,Assumptions!$N$69)=(Assumptions!$N$69-1),Q79*(1+Assumptions!$N$68),'Phase I Pro Forma'!Q79)</f>
        <v>1.1025</v>
      </c>
      <c r="S79" s="108">
        <f>+IF(MOD(S$2,Assumptions!$N$69)=(Assumptions!$N$69-1),R79*(1+Assumptions!$N$68),'Phase I Pro Forma'!R79)</f>
        <v>1.1025</v>
      </c>
      <c r="T79" s="108">
        <f>+IF(MOD(T$2,Assumptions!$N$69)=(Assumptions!$N$69-1),S79*(1+Assumptions!$N$68),'Phase I Pro Forma'!S79)</f>
        <v>1.1025</v>
      </c>
      <c r="U79" s="108">
        <f>+IF(MOD(U$2,Assumptions!$N$69)=(Assumptions!$N$69-1),T79*(1+Assumptions!$N$68),'Phase I Pro Forma'!T79)</f>
        <v>1.1025</v>
      </c>
      <c r="V79" s="108">
        <f>+IF(MOD(V$2,Assumptions!$N$69)=(Assumptions!$N$69-1),U79*(1+Assumptions!$N$68),'Phase I Pro Forma'!U79)</f>
        <v>1.1576250000000001</v>
      </c>
      <c r="W79" s="108">
        <f>+IF(MOD(W$2,Assumptions!$N$69)=(Assumptions!$N$69-1),V79*(1+Assumptions!$N$68),'Phase I Pro Forma'!V79)</f>
        <v>1.1576250000000001</v>
      </c>
      <c r="X79" s="108">
        <f>+IF(MOD(X$2,Assumptions!$N$69)=(Assumptions!$N$69-1),W79*(1+Assumptions!$N$68),'Phase I Pro Forma'!W79)</f>
        <v>1.1576250000000001</v>
      </c>
      <c r="Y79" s="108">
        <f>+IF(MOD(Y$2,Assumptions!$N$69)=(Assumptions!$N$69-1),X79*(1+Assumptions!$N$68),'Phase I Pro Forma'!X79)</f>
        <v>1.1576250000000001</v>
      </c>
      <c r="Z79" s="108">
        <f>+IF(MOD(Z$2,Assumptions!$N$69)=(Assumptions!$N$69-1),Y79*(1+Assumptions!$N$68),'Phase I Pro Forma'!Y79)</f>
        <v>1.1576250000000001</v>
      </c>
    </row>
    <row r="80" spans="2:26" x14ac:dyDescent="0.35">
      <c r="B80" s="33" t="s">
        <v>255</v>
      </c>
      <c r="C80" s="33"/>
      <c r="D80" s="42"/>
      <c r="E80" s="42"/>
      <c r="F80" s="108">
        <v>1</v>
      </c>
      <c r="G80" s="108">
        <f>+F80*(1+Assumptions!$N$79)</f>
        <v>1.03</v>
      </c>
      <c r="H80" s="108">
        <f>+G80*(1+Assumptions!$N$79)</f>
        <v>1.0609</v>
      </c>
      <c r="I80" s="108">
        <f>+H80*(1+Assumptions!$N$79)</f>
        <v>1.092727</v>
      </c>
      <c r="J80" s="108">
        <f>+I80*(1+Assumptions!$N$79)</f>
        <v>1.1255088100000001</v>
      </c>
      <c r="K80" s="108">
        <f>+J80*(1+Assumptions!$N$79)</f>
        <v>1.1592740743000001</v>
      </c>
      <c r="L80" s="108">
        <f>+K80*(1+Assumptions!$N$79)</f>
        <v>1.1940522965290001</v>
      </c>
      <c r="M80" s="108">
        <f>+L80*(1+Assumptions!$N$79)</f>
        <v>1.2298738654248702</v>
      </c>
      <c r="N80" s="108">
        <f>+M80*(1+Assumptions!$N$79)</f>
        <v>1.2667700813876164</v>
      </c>
      <c r="O80" s="108">
        <f>+N80*(1+Assumptions!$N$79)</f>
        <v>1.3047731838292449</v>
      </c>
      <c r="P80" s="108">
        <f>+O80*(1+Assumptions!$N$79)</f>
        <v>1.3439163793441222</v>
      </c>
      <c r="Q80" s="108">
        <f>+P80*(1+Assumptions!$N$79)</f>
        <v>1.3842338707244459</v>
      </c>
      <c r="R80" s="108">
        <f>+Q80*(1+Assumptions!$N$79)</f>
        <v>1.4257608868461793</v>
      </c>
      <c r="S80" s="108">
        <f>+R80*(1+Assumptions!$N$79)</f>
        <v>1.4685337134515648</v>
      </c>
      <c r="T80" s="108">
        <f>+S80*(1+Assumptions!$N$79)</f>
        <v>1.5125897248551119</v>
      </c>
      <c r="U80" s="108">
        <f>+T80*(1+Assumptions!$N$79)</f>
        <v>1.5579674166007653</v>
      </c>
      <c r="V80" s="108">
        <f>+U80*(1+Assumptions!$N$79)</f>
        <v>1.6047064390987884</v>
      </c>
      <c r="W80" s="108">
        <f>+V80*(1+Assumptions!$N$79)</f>
        <v>1.652847632271752</v>
      </c>
      <c r="X80" s="108">
        <f>+W80*(1+Assumptions!$N$79)</f>
        <v>1.7024330612399046</v>
      </c>
      <c r="Y80" s="108">
        <f>+X80*(1+Assumptions!$N$79)</f>
        <v>1.7535060530771018</v>
      </c>
      <c r="Z80" s="108">
        <f>+Y80*(1+Assumptions!$N$79)</f>
        <v>1.806111234669415</v>
      </c>
    </row>
    <row r="81" spans="2:26" x14ac:dyDescent="0.35">
      <c r="B81" s="33"/>
      <c r="C81" s="33"/>
      <c r="D81" s="40"/>
      <c r="E81" s="40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2:26" x14ac:dyDescent="0.35">
      <c r="B82" s="33" t="s">
        <v>246</v>
      </c>
      <c r="C82" s="33"/>
      <c r="D82" s="40"/>
      <c r="E82" s="40"/>
      <c r="F82" s="34">
        <f>+F77*Assumptions!$F$153*F79</f>
        <v>0</v>
      </c>
      <c r="G82" s="34">
        <f>+G77*Assumptions!$F$153*G79</f>
        <v>0</v>
      </c>
      <c r="H82" s="34">
        <f>+H77*Assumptions!$F$153*H79</f>
        <v>0</v>
      </c>
      <c r="I82" s="34">
        <f>+I77*Assumptions!$F$153*I79</f>
        <v>95625</v>
      </c>
      <c r="J82" s="34">
        <f>+J77*Assumptions!$F$153*J79</f>
        <v>191250</v>
      </c>
      <c r="K82" s="34">
        <f>+K77*Assumptions!$F$153*K79</f>
        <v>191250</v>
      </c>
      <c r="L82" s="34">
        <f>+L77*Assumptions!$F$153*L79</f>
        <v>200812.5</v>
      </c>
      <c r="M82" s="34">
        <f>+M77*Assumptions!$F$153*M79</f>
        <v>200812.5</v>
      </c>
      <c r="N82" s="34">
        <f>+N77*Assumptions!$F$153*N79</f>
        <v>200812.5</v>
      </c>
      <c r="O82" s="34">
        <f>+O77*Assumptions!$F$153*O79</f>
        <v>200812.5</v>
      </c>
      <c r="P82" s="34">
        <f>+P77*Assumptions!$F$153*P79</f>
        <v>200812.5</v>
      </c>
      <c r="Q82" s="34">
        <f>+Q77*Assumptions!$F$153*Q79</f>
        <v>210853.125</v>
      </c>
      <c r="R82" s="34">
        <f>+R77*Assumptions!$F$153*R79</f>
        <v>210853.125</v>
      </c>
      <c r="S82" s="34">
        <f>+S77*Assumptions!$F$153*S79</f>
        <v>210853.125</v>
      </c>
      <c r="T82" s="34">
        <f>+T77*Assumptions!$F$153*T79</f>
        <v>210853.125</v>
      </c>
      <c r="U82" s="34">
        <f>+U77*Assumptions!$F$153*U79</f>
        <v>210853.125</v>
      </c>
      <c r="V82" s="34">
        <f>+V77*Assumptions!$F$153*V79</f>
        <v>221395.78125000003</v>
      </c>
      <c r="W82" s="34">
        <f>+W77*Assumptions!$F$153*W79</f>
        <v>221395.78125000003</v>
      </c>
      <c r="X82" s="34">
        <f>+X77*Assumptions!$F$153*X79</f>
        <v>221395.78125000003</v>
      </c>
      <c r="Y82" s="34">
        <f>+Y77*Assumptions!$F$153*Y79</f>
        <v>221395.78125000003</v>
      </c>
      <c r="Z82" s="34">
        <f>+Z77*Assumptions!$F$153*Z79</f>
        <v>221395.78125000003</v>
      </c>
    </row>
    <row r="83" spans="2:26" x14ac:dyDescent="0.35">
      <c r="B83" s="33" t="s">
        <v>247</v>
      </c>
      <c r="C83" s="33"/>
      <c r="D83" s="40"/>
      <c r="E83" s="40"/>
      <c r="F83" s="42">
        <f>-F82*Assumptions!$N$57</f>
        <v>0</v>
      </c>
      <c r="G83" s="42">
        <f>-G82*Assumptions!$N$57</f>
        <v>0</v>
      </c>
      <c r="H83" s="42">
        <f>-H82*Assumptions!$N$57</f>
        <v>0</v>
      </c>
      <c r="I83" s="42">
        <f>-I82*Assumptions!$N$57</f>
        <v>-4781.25</v>
      </c>
      <c r="J83" s="42">
        <f>-J82*Assumptions!$N$57</f>
        <v>-9562.5</v>
      </c>
      <c r="K83" s="42">
        <f>-K82*Assumptions!$N$57</f>
        <v>-9562.5</v>
      </c>
      <c r="L83" s="42">
        <f>-L82*Assumptions!$N$57</f>
        <v>-10040.625</v>
      </c>
      <c r="M83" s="42">
        <f>-M82*Assumptions!$N$57</f>
        <v>-10040.625</v>
      </c>
      <c r="N83" s="42">
        <f>-N82*Assumptions!$N$57</f>
        <v>-10040.625</v>
      </c>
      <c r="O83" s="42">
        <f>-O82*Assumptions!$N$57</f>
        <v>-10040.625</v>
      </c>
      <c r="P83" s="42">
        <f>-P82*Assumptions!$N$57</f>
        <v>-10040.625</v>
      </c>
      <c r="Q83" s="42">
        <f>-Q82*Assumptions!$N$57</f>
        <v>-10542.65625</v>
      </c>
      <c r="R83" s="42">
        <f>-R82*Assumptions!$N$57</f>
        <v>-10542.65625</v>
      </c>
      <c r="S83" s="42">
        <f>-S82*Assumptions!$N$57</f>
        <v>-10542.65625</v>
      </c>
      <c r="T83" s="42">
        <f>-T82*Assumptions!$N$57</f>
        <v>-10542.65625</v>
      </c>
      <c r="U83" s="42">
        <f>-U82*Assumptions!$N$57</f>
        <v>-10542.65625</v>
      </c>
      <c r="V83" s="42">
        <f>-V82*Assumptions!$N$57</f>
        <v>-11069.789062500002</v>
      </c>
      <c r="W83" s="42">
        <f>-W82*Assumptions!$N$57</f>
        <v>-11069.789062500002</v>
      </c>
      <c r="X83" s="42">
        <f>-X82*Assumptions!$N$57</f>
        <v>-11069.789062500002</v>
      </c>
      <c r="Y83" s="42">
        <f>-Y82*Assumptions!$N$57</f>
        <v>-11069.789062500002</v>
      </c>
      <c r="Z83" s="42">
        <f>-Z82*Assumptions!$N$57</f>
        <v>-11069.789062500002</v>
      </c>
    </row>
    <row r="84" spans="2:26" x14ac:dyDescent="0.35">
      <c r="B84" s="33" t="s">
        <v>262</v>
      </c>
      <c r="C84" s="33"/>
      <c r="D84" s="40"/>
      <c r="E84" s="40"/>
      <c r="F84" s="151">
        <f ca="1">+F89*Assumptions!$N$90</f>
        <v>0</v>
      </c>
      <c r="G84" s="151">
        <f ca="1">+G89*Assumptions!$N$90</f>
        <v>0</v>
      </c>
      <c r="H84" s="151">
        <f ca="1">+H89*Assumptions!$N$90</f>
        <v>0</v>
      </c>
      <c r="I84" s="151">
        <f ca="1">+I89*Assumptions!$N$90</f>
        <v>334919.6484375</v>
      </c>
      <c r="J84" s="151">
        <f ca="1">+J89*Assumptions!$N$90</f>
        <v>689288.42448375013</v>
      </c>
      <c r="K84" s="151">
        <f ca="1">+K89*Assumptions!$N$90</f>
        <v>707990.16024791251</v>
      </c>
      <c r="L84" s="151">
        <f ca="1">+L89*Assumptions!$N$90</f>
        <v>727252.94808499992</v>
      </c>
      <c r="M84" s="151">
        <f ca="1">+M89*Assumptions!$N$90</f>
        <v>748411.56420409994</v>
      </c>
      <c r="N84" s="151">
        <f ca="1">+N89*Assumptions!$N$90</f>
        <v>768847.45582046593</v>
      </c>
      <c r="O84" s="151">
        <f ca="1">+O89*Assumptions!$N$90</f>
        <v>789896.42418532295</v>
      </c>
      <c r="P84" s="151">
        <f ca="1">+P89*Assumptions!$N$90</f>
        <v>812921.16514096374</v>
      </c>
      <c r="Q84" s="151">
        <f ca="1">+Q89*Assumptions!$N$90</f>
        <v>835252.01567924046</v>
      </c>
      <c r="R84" s="151">
        <f ca="1">+R89*Assumptions!$N$90</f>
        <v>858252.79173366562</v>
      </c>
      <c r="S84" s="151">
        <f ca="1">+S89*Assumptions!$N$90</f>
        <v>883314.78068035818</v>
      </c>
      <c r="T84" s="151">
        <f ca="1">+T89*Assumptions!$N$90</f>
        <v>907716.30399649777</v>
      </c>
      <c r="U84" s="151">
        <f ca="1">+U89*Assumptions!$N$90</f>
        <v>932849.87301212177</v>
      </c>
      <c r="V84" s="151">
        <f ca="1">+V89*Assumptions!$N$90</f>
        <v>960136.06250106171</v>
      </c>
      <c r="W84" s="151">
        <f ca="1">+W89*Assumptions!$N$90</f>
        <v>986800.2658697369</v>
      </c>
      <c r="X84" s="151">
        <f ca="1">+X89*Assumptions!$N$90</f>
        <v>1014264.3953394725</v>
      </c>
      <c r="Y84" s="151">
        <f ca="1">+Y89*Assumptions!$N$90</f>
        <v>1043979.0343642044</v>
      </c>
      <c r="Z84" s="151">
        <f ca="1">+Z89*Assumptions!$N$90</f>
        <v>1073115.7293186469</v>
      </c>
    </row>
    <row r="85" spans="2:26" x14ac:dyDescent="0.35">
      <c r="B85" s="137" t="s">
        <v>256</v>
      </c>
      <c r="C85" s="137"/>
      <c r="D85" s="137"/>
      <c r="E85" s="137"/>
      <c r="F85" s="129">
        <f t="shared" ref="F85:Z85" ca="1" si="161">+SUM(F82:F84)</f>
        <v>0</v>
      </c>
      <c r="G85" s="129">
        <f t="shared" ca="1" si="161"/>
        <v>0</v>
      </c>
      <c r="H85" s="129">
        <f t="shared" ca="1" si="161"/>
        <v>0</v>
      </c>
      <c r="I85" s="129">
        <f t="shared" ca="1" si="161"/>
        <v>425763.3984375</v>
      </c>
      <c r="J85" s="129">
        <f t="shared" ca="1" si="161"/>
        <v>870975.92448375013</v>
      </c>
      <c r="K85" s="129">
        <f t="shared" ca="1" si="161"/>
        <v>889677.66024791251</v>
      </c>
      <c r="L85" s="129">
        <f t="shared" ca="1" si="161"/>
        <v>918024.82308499992</v>
      </c>
      <c r="M85" s="129">
        <f t="shared" ca="1" si="161"/>
        <v>939183.43920409994</v>
      </c>
      <c r="N85" s="129">
        <f t="shared" ca="1" si="161"/>
        <v>959619.33082046593</v>
      </c>
      <c r="O85" s="129">
        <f t="shared" ca="1" si="161"/>
        <v>980668.29918532295</v>
      </c>
      <c r="P85" s="129">
        <f t="shared" ca="1" si="161"/>
        <v>1003693.0401409637</v>
      </c>
      <c r="Q85" s="129">
        <f t="shared" ca="1" si="161"/>
        <v>1035562.4844292405</v>
      </c>
      <c r="R85" s="129">
        <f t="shared" ca="1" si="161"/>
        <v>1058563.2604836656</v>
      </c>
      <c r="S85" s="129">
        <f t="shared" ca="1" si="161"/>
        <v>1083625.2494303582</v>
      </c>
      <c r="T85" s="129">
        <f t="shared" ca="1" si="161"/>
        <v>1108026.7727464978</v>
      </c>
      <c r="U85" s="129">
        <f t="shared" ca="1" si="161"/>
        <v>1133160.3417621218</v>
      </c>
      <c r="V85" s="129">
        <f t="shared" ca="1" si="161"/>
        <v>1170462.0546885617</v>
      </c>
      <c r="W85" s="129">
        <f t="shared" ca="1" si="161"/>
        <v>1197126.2580572369</v>
      </c>
      <c r="X85" s="129">
        <f t="shared" ca="1" si="161"/>
        <v>1224590.3875269725</v>
      </c>
      <c r="Y85" s="129">
        <f t="shared" ca="1" si="161"/>
        <v>1254305.0265517044</v>
      </c>
      <c r="Z85" s="129">
        <f t="shared" ca="1" si="161"/>
        <v>1283441.7215061469</v>
      </c>
    </row>
    <row r="87" spans="2:26" x14ac:dyDescent="0.35">
      <c r="B87" s="33" t="s">
        <v>395</v>
      </c>
      <c r="F87" s="34">
        <f>+F76*Assumptions!$N$122*'Phase I Pro Forma'!F80</f>
        <v>0</v>
      </c>
      <c r="G87" s="34">
        <f>+G76*Assumptions!$N$122*'Phase I Pro Forma'!G80</f>
        <v>0</v>
      </c>
      <c r="H87" s="34">
        <f>+H76*Assumptions!$N$122*'Phase I Pro Forma'!H80</f>
        <v>0</v>
      </c>
      <c r="I87" s="34">
        <f>+I76*Assumptions!$N$122*'Phase I Pro Forma'!I80</f>
        <v>302617.08356250002</v>
      </c>
      <c r="J87" s="34">
        <f>+J76*Assumptions!$N$122*'Phase I Pro Forma'!J80</f>
        <v>623391.19213875011</v>
      </c>
      <c r="K87" s="34">
        <f>+K76*Assumptions!$N$122*'Phase I Pro Forma'!K80</f>
        <v>642092.92790291249</v>
      </c>
      <c r="L87" s="34">
        <f>+L76*Assumptions!$N$122*'Phase I Pro Forma'!L80</f>
        <v>661355.7157399999</v>
      </c>
      <c r="M87" s="34">
        <f>+M76*Assumptions!$N$122*'Phase I Pro Forma'!M80</f>
        <v>681196.38721219997</v>
      </c>
      <c r="N87" s="34">
        <f>+N76*Assumptions!$N$122*'Phase I Pro Forma'!N80</f>
        <v>701632.27882856596</v>
      </c>
      <c r="O87" s="34">
        <f>+O76*Assumptions!$N$122*'Phase I Pro Forma'!O80</f>
        <v>722681.24719342298</v>
      </c>
      <c r="P87" s="34">
        <f>+P76*Assumptions!$N$122*'Phase I Pro Forma'!P80</f>
        <v>744361.68460922572</v>
      </c>
      <c r="Q87" s="34">
        <f>+Q76*Assumptions!$N$122*'Phase I Pro Forma'!Q80</f>
        <v>766692.53514750244</v>
      </c>
      <c r="R87" s="34">
        <f>+R76*Assumptions!$N$122*'Phase I Pro Forma'!R80</f>
        <v>789693.3112019276</v>
      </c>
      <c r="S87" s="34">
        <f>+S76*Assumptions!$N$122*'Phase I Pro Forma'!S80</f>
        <v>813384.11053798546</v>
      </c>
      <c r="T87" s="34">
        <f>+T76*Assumptions!$N$122*'Phase I Pro Forma'!T80</f>
        <v>837785.63385412504</v>
      </c>
      <c r="U87" s="34">
        <f>+U76*Assumptions!$N$122*'Phase I Pro Forma'!U80</f>
        <v>862919.20286974893</v>
      </c>
      <c r="V87" s="34">
        <f>+V76*Assumptions!$N$122*'Phase I Pro Forma'!V80</f>
        <v>888806.77895584144</v>
      </c>
      <c r="W87" s="34">
        <f>+W76*Assumptions!$N$122*'Phase I Pro Forma'!W80</f>
        <v>915470.98232451663</v>
      </c>
      <c r="X87" s="34">
        <f>+X76*Assumptions!$N$122*'Phase I Pro Forma'!X80</f>
        <v>942935.11179425218</v>
      </c>
      <c r="Y87" s="34">
        <f>+Y76*Assumptions!$N$122*'Phase I Pro Forma'!Y80</f>
        <v>971223.16514807974</v>
      </c>
      <c r="Z87" s="34">
        <f>+Z76*Assumptions!$N$122*'Phase I Pro Forma'!Z80</f>
        <v>1000359.8601025223</v>
      </c>
    </row>
    <row r="88" spans="2:26" x14ac:dyDescent="0.35">
      <c r="B88" s="33" t="s">
        <v>331</v>
      </c>
      <c r="F88" s="151">
        <f ca="1">+IFERROR(INDEX('Taxes and TIF'!$M$11:$M$45,MATCH('Phase I Pro Forma'!F$7,'Taxes and TIF'!$B$11:$B$45,0)),0)*'Loan Sizing'!$I$18*F77</f>
        <v>0</v>
      </c>
      <c r="G88" s="151">
        <f ca="1">+IFERROR(INDEX('Taxes and TIF'!$M$11:$M$45,MATCH('Phase I Pro Forma'!G$7,'Taxes and TIF'!$B$11:$B$45,0)),0)*'Loan Sizing'!$I$18*G77</f>
        <v>0</v>
      </c>
      <c r="H88" s="151">
        <f ca="1">+IFERROR(INDEX('Taxes and TIF'!$M$11:$M$45,MATCH('Phase I Pro Forma'!H$7,'Taxes and TIF'!$B$11:$B$45,0)),0)*'Loan Sizing'!$I$18*H77</f>
        <v>0</v>
      </c>
      <c r="I88" s="151">
        <f ca="1">+IFERROR(INDEX('Taxes and TIF'!$M$11:$M$45,MATCH('Phase I Pro Forma'!I$7,'Taxes and TIF'!$B$11:$B$45,0)),0)*'Loan Sizing'!$I$18*I77</f>
        <v>32302.564875</v>
      </c>
      <c r="J88" s="151">
        <f ca="1">+IFERROR(INDEX('Taxes and TIF'!$M$11:$M$45,MATCH('Phase I Pro Forma'!J$7,'Taxes and TIF'!$B$11:$B$45,0)),0)*'Loan Sizing'!$I$18*J77</f>
        <v>65897.232344999997</v>
      </c>
      <c r="K88" s="151">
        <f ca="1">+IFERROR(INDEX('Taxes and TIF'!$M$11:$M$45,MATCH('Phase I Pro Forma'!K$7,'Taxes and TIF'!$B$11:$B$45,0)),0)*'Loan Sizing'!$I$18*K77</f>
        <v>65897.232344999997</v>
      </c>
      <c r="L88" s="151">
        <f ca="1">+IFERROR(INDEX('Taxes and TIF'!$M$11:$M$45,MATCH('Phase I Pro Forma'!L$7,'Taxes and TIF'!$B$11:$B$45,0)),0)*'Loan Sizing'!$I$18*L77</f>
        <v>65897.232344999997</v>
      </c>
      <c r="M88" s="151">
        <f ca="1">+IFERROR(INDEX('Taxes and TIF'!$M$11:$M$45,MATCH('Phase I Pro Forma'!M$7,'Taxes and TIF'!$B$11:$B$45,0)),0)*'Loan Sizing'!$I$18*M77</f>
        <v>67215.176991900007</v>
      </c>
      <c r="N88" s="151">
        <f ca="1">+IFERROR(INDEX('Taxes and TIF'!$M$11:$M$45,MATCH('Phase I Pro Forma'!N$7,'Taxes and TIF'!$B$11:$B$45,0)),0)*'Loan Sizing'!$I$18*N77</f>
        <v>67215.176991900007</v>
      </c>
      <c r="O88" s="151">
        <f ca="1">+IFERROR(INDEX('Taxes and TIF'!$M$11:$M$45,MATCH('Phase I Pro Forma'!O$7,'Taxes and TIF'!$B$11:$B$45,0)),0)*'Loan Sizing'!$I$18*O77</f>
        <v>67215.176991900007</v>
      </c>
      <c r="P88" s="151">
        <f ca="1">+IFERROR(INDEX('Taxes and TIF'!$M$11:$M$45,MATCH('Phase I Pro Forma'!P$7,'Taxes and TIF'!$B$11:$B$45,0)),0)*'Loan Sizing'!$I$18*P77</f>
        <v>68559.480531738009</v>
      </c>
      <c r="Q88" s="151">
        <f ca="1">+IFERROR(INDEX('Taxes and TIF'!$M$11:$M$45,MATCH('Phase I Pro Forma'!Q$7,'Taxes and TIF'!$B$11:$B$45,0)),0)*'Loan Sizing'!$I$18*Q77</f>
        <v>68559.480531738009</v>
      </c>
      <c r="R88" s="151">
        <f ca="1">+IFERROR(INDEX('Taxes and TIF'!$M$11:$M$45,MATCH('Phase I Pro Forma'!R$7,'Taxes and TIF'!$B$11:$B$45,0)),0)*'Loan Sizing'!$I$18*R77</f>
        <v>68559.480531738009</v>
      </c>
      <c r="S88" s="151">
        <f ca="1">+IFERROR(INDEX('Taxes and TIF'!$M$11:$M$45,MATCH('Phase I Pro Forma'!S$7,'Taxes and TIF'!$B$11:$B$45,0)),0)*'Loan Sizing'!$I$18*S77</f>
        <v>69930.670142372779</v>
      </c>
      <c r="T88" s="151">
        <f ca="1">+IFERROR(INDEX('Taxes and TIF'!$M$11:$M$45,MATCH('Phase I Pro Forma'!T$7,'Taxes and TIF'!$B$11:$B$45,0)),0)*'Loan Sizing'!$I$18*T77</f>
        <v>69930.670142372779</v>
      </c>
      <c r="U88" s="151">
        <f ca="1">+IFERROR(INDEX('Taxes and TIF'!$M$11:$M$45,MATCH('Phase I Pro Forma'!U$7,'Taxes and TIF'!$B$11:$B$45,0)),0)*'Loan Sizing'!$I$18*U77</f>
        <v>69930.670142372779</v>
      </c>
      <c r="V88" s="151">
        <f ca="1">+IFERROR(INDEX('Taxes and TIF'!$M$11:$M$45,MATCH('Phase I Pro Forma'!V$7,'Taxes and TIF'!$B$11:$B$45,0)),0)*'Loan Sizing'!$I$18*V77</f>
        <v>71329.283545220227</v>
      </c>
      <c r="W88" s="151">
        <f ca="1">+IFERROR(INDEX('Taxes and TIF'!$M$11:$M$45,MATCH('Phase I Pro Forma'!W$7,'Taxes and TIF'!$B$11:$B$45,0)),0)*'Loan Sizing'!$I$18*W77</f>
        <v>71329.283545220227</v>
      </c>
      <c r="X88" s="151">
        <f ca="1">+IFERROR(INDEX('Taxes and TIF'!$M$11:$M$45,MATCH('Phase I Pro Forma'!X$7,'Taxes and TIF'!$B$11:$B$45,0)),0)*'Loan Sizing'!$I$18*X77</f>
        <v>71329.283545220227</v>
      </c>
      <c r="Y88" s="151">
        <f ca="1">+IFERROR(INDEX('Taxes and TIF'!$M$11:$M$45,MATCH('Phase I Pro Forma'!Y$7,'Taxes and TIF'!$B$11:$B$45,0)),0)*'Loan Sizing'!$I$18*Y77</f>
        <v>72755.869216124629</v>
      </c>
      <c r="Z88" s="151">
        <f ca="1">+IFERROR(INDEX('Taxes and TIF'!$M$11:$M$45,MATCH('Phase I Pro Forma'!Z$7,'Taxes and TIF'!$B$11:$B$45,0)),0)*'Loan Sizing'!$I$18*Z77</f>
        <v>72755.869216124629</v>
      </c>
    </row>
    <row r="89" spans="2:26" x14ac:dyDescent="0.35">
      <c r="B89" s="137" t="s">
        <v>252</v>
      </c>
      <c r="C89" s="137"/>
      <c r="D89" s="137"/>
      <c r="E89" s="137"/>
      <c r="F89" s="129">
        <f ca="1">+SUM(F87:F88)</f>
        <v>0</v>
      </c>
      <c r="G89" s="129">
        <f t="shared" ref="G89" ca="1" si="162">+SUM(G87:G88)</f>
        <v>0</v>
      </c>
      <c r="H89" s="129">
        <f t="shared" ref="H89" ca="1" si="163">+SUM(H87:H88)</f>
        <v>0</v>
      </c>
      <c r="I89" s="129">
        <f t="shared" ref="I89" ca="1" si="164">+SUM(I87:I88)</f>
        <v>334919.6484375</v>
      </c>
      <c r="J89" s="129">
        <f t="shared" ref="J89" ca="1" si="165">+SUM(J87:J88)</f>
        <v>689288.42448375013</v>
      </c>
      <c r="K89" s="129">
        <f t="shared" ref="K89" ca="1" si="166">+SUM(K87:K88)</f>
        <v>707990.16024791251</v>
      </c>
      <c r="L89" s="129">
        <f t="shared" ref="L89" ca="1" si="167">+SUM(L87:L88)</f>
        <v>727252.94808499992</v>
      </c>
      <c r="M89" s="129">
        <f t="shared" ref="M89" ca="1" si="168">+SUM(M87:M88)</f>
        <v>748411.56420409994</v>
      </c>
      <c r="N89" s="129">
        <f t="shared" ref="N89" ca="1" si="169">+SUM(N87:N88)</f>
        <v>768847.45582046593</v>
      </c>
      <c r="O89" s="129">
        <f t="shared" ref="O89" ca="1" si="170">+SUM(O87:O88)</f>
        <v>789896.42418532295</v>
      </c>
      <c r="P89" s="129">
        <f t="shared" ref="P89" ca="1" si="171">+SUM(P87:P88)</f>
        <v>812921.16514096374</v>
      </c>
      <c r="Q89" s="129">
        <f t="shared" ref="Q89" ca="1" si="172">+SUM(Q87:Q88)</f>
        <v>835252.01567924046</v>
      </c>
      <c r="R89" s="129">
        <f t="shared" ref="R89" ca="1" si="173">+SUM(R87:R88)</f>
        <v>858252.79173366562</v>
      </c>
      <c r="S89" s="129">
        <f t="shared" ref="S89" ca="1" si="174">+SUM(S87:S88)</f>
        <v>883314.78068035818</v>
      </c>
      <c r="T89" s="129">
        <f t="shared" ref="T89" ca="1" si="175">+SUM(T87:T88)</f>
        <v>907716.30399649777</v>
      </c>
      <c r="U89" s="129">
        <f t="shared" ref="U89" ca="1" si="176">+SUM(U87:U88)</f>
        <v>932849.87301212177</v>
      </c>
      <c r="V89" s="129">
        <f t="shared" ref="V89" ca="1" si="177">+SUM(V87:V88)</f>
        <v>960136.06250106171</v>
      </c>
      <c r="W89" s="129">
        <f t="shared" ref="W89" ca="1" si="178">+SUM(W87:W88)</f>
        <v>986800.2658697369</v>
      </c>
      <c r="X89" s="129">
        <f t="shared" ref="X89" ca="1" si="179">+SUM(X87:X88)</f>
        <v>1014264.3953394725</v>
      </c>
      <c r="Y89" s="129">
        <f t="shared" ref="Y89" ca="1" si="180">+SUM(Y87:Y88)</f>
        <v>1043979.0343642044</v>
      </c>
      <c r="Z89" s="129">
        <f t="shared" ref="Z89" ca="1" si="181">+SUM(Z87:Z88)</f>
        <v>1073115.7293186469</v>
      </c>
    </row>
    <row r="90" spans="2:26" x14ac:dyDescent="0.35">
      <c r="B90" s="33"/>
    </row>
    <row r="91" spans="2:26" x14ac:dyDescent="0.35">
      <c r="B91" s="138" t="s">
        <v>251</v>
      </c>
      <c r="C91" s="138"/>
      <c r="D91" s="138"/>
      <c r="E91" s="138"/>
      <c r="F91" s="139">
        <f ca="1">+F85-F89</f>
        <v>0</v>
      </c>
      <c r="G91" s="139">
        <f t="shared" ref="G91:Z91" ca="1" si="182">+G85-G89</f>
        <v>0</v>
      </c>
      <c r="H91" s="139">
        <f t="shared" ca="1" si="182"/>
        <v>0</v>
      </c>
      <c r="I91" s="139">
        <f t="shared" ca="1" si="182"/>
        <v>90843.75</v>
      </c>
      <c r="J91" s="139">
        <f t="shared" ca="1" si="182"/>
        <v>181687.5</v>
      </c>
      <c r="K91" s="139">
        <f t="shared" ca="1" si="182"/>
        <v>181687.5</v>
      </c>
      <c r="L91" s="139">
        <f t="shared" ca="1" si="182"/>
        <v>190771.875</v>
      </c>
      <c r="M91" s="139">
        <f t="shared" ca="1" si="182"/>
        <v>190771.875</v>
      </c>
      <c r="N91" s="139">
        <f t="shared" ca="1" si="182"/>
        <v>190771.875</v>
      </c>
      <c r="O91" s="139">
        <f t="shared" ca="1" si="182"/>
        <v>190771.875</v>
      </c>
      <c r="P91" s="139">
        <f t="shared" ca="1" si="182"/>
        <v>190771.875</v>
      </c>
      <c r="Q91" s="139">
        <f t="shared" ca="1" si="182"/>
        <v>200310.46875</v>
      </c>
      <c r="R91" s="139">
        <f t="shared" ca="1" si="182"/>
        <v>200310.46875</v>
      </c>
      <c r="S91" s="139">
        <f t="shared" ca="1" si="182"/>
        <v>200310.46875</v>
      </c>
      <c r="T91" s="139">
        <f t="shared" ca="1" si="182"/>
        <v>200310.46875</v>
      </c>
      <c r="U91" s="139">
        <f t="shared" ca="1" si="182"/>
        <v>200310.46875</v>
      </c>
      <c r="V91" s="139">
        <f t="shared" ca="1" si="182"/>
        <v>210325.9921875</v>
      </c>
      <c r="W91" s="139">
        <f t="shared" ca="1" si="182"/>
        <v>210325.9921875</v>
      </c>
      <c r="X91" s="139">
        <f t="shared" ca="1" si="182"/>
        <v>210325.9921875</v>
      </c>
      <c r="Y91" s="139">
        <f t="shared" ca="1" si="182"/>
        <v>210325.9921875</v>
      </c>
      <c r="Z91" s="139">
        <f t="shared" ca="1" si="182"/>
        <v>210325.9921875</v>
      </c>
    </row>
    <row r="92" spans="2:26" x14ac:dyDescent="0.35">
      <c r="B92" s="143" t="s">
        <v>257</v>
      </c>
      <c r="C92" s="141"/>
      <c r="D92" s="141"/>
      <c r="E92" s="141"/>
      <c r="F92" s="144" t="str">
        <f ca="1">+IFERROR(F91/F85,"")</f>
        <v/>
      </c>
      <c r="G92" s="144" t="str">
        <f t="shared" ref="G92" ca="1" si="183">+IFERROR(G91/G85,"")</f>
        <v/>
      </c>
      <c r="H92" s="144" t="str">
        <f t="shared" ref="H92" ca="1" si="184">+IFERROR(H91/H85,"")</f>
        <v/>
      </c>
      <c r="I92" s="145">
        <f t="shared" ref="I92" ca="1" si="185">+IFERROR(I91/I85,"")</f>
        <v>0.21336674390843727</v>
      </c>
      <c r="J92" s="145">
        <f t="shared" ref="J92" ca="1" si="186">+IFERROR(J91/J85,"")</f>
        <v>0.20860220689531786</v>
      </c>
      <c r="K92" s="145">
        <f t="shared" ref="K92" ca="1" si="187">+IFERROR(K91/K85,"")</f>
        <v>0.20421722171755105</v>
      </c>
      <c r="L92" s="145">
        <f t="shared" ref="L92" ca="1" si="188">+IFERROR(L91/L85,"")</f>
        <v>0.20780688081931792</v>
      </c>
      <c r="M92" s="145">
        <f t="shared" ref="M92" ca="1" si="189">+IFERROR(M91/M85,"")</f>
        <v>0.20312525438232534</v>
      </c>
      <c r="N92" s="145">
        <f t="shared" ref="N92" ca="1" si="190">+IFERROR(N91/N85,"")</f>
        <v>0.19879953318248786</v>
      </c>
      <c r="O92" s="145">
        <f t="shared" ref="O92" ca="1" si="191">+IFERROR(O91/O85,"")</f>
        <v>0.19453251946502317</v>
      </c>
      <c r="P92" s="145">
        <f t="shared" ref="P92" ca="1" si="192">+IFERROR(P91/P85,"")</f>
        <v>0.19006993908536721</v>
      </c>
      <c r="Q92" s="145">
        <f t="shared" ref="Q92" ca="1" si="193">+IFERROR(Q91/Q85,"")</f>
        <v>0.193431561843806</v>
      </c>
      <c r="R92" s="145">
        <f t="shared" ref="R92" ca="1" si="194">+IFERROR(R91/R85,"")</f>
        <v>0.18922862357652259</v>
      </c>
      <c r="S92" s="145">
        <f t="shared" ref="S92" ca="1" si="195">+IFERROR(S91/S85,"")</f>
        <v>0.18485216070343463</v>
      </c>
      <c r="T92" s="145">
        <f t="shared" ref="T92" ca="1" si="196">+IFERROR(T91/T85,"")</f>
        <v>0.18078125337484824</v>
      </c>
      <c r="U92" s="145">
        <f t="shared" ref="U92" ca="1" si="197">+IFERROR(U91/U85,"")</f>
        <v>0.1767715135869537</v>
      </c>
      <c r="V92" s="145">
        <f t="shared" ref="V92" ca="1" si="198">+IFERROR(V91/V85,"")</f>
        <v>0.17969484046491696</v>
      </c>
      <c r="W92" s="145">
        <f t="shared" ref="W92" ca="1" si="199">+IFERROR(W91/W85,"")</f>
        <v>0.17569240568561975</v>
      </c>
      <c r="X92" s="145">
        <f t="shared" ref="X92" ca="1" si="200">+IFERROR(X91/X85,"")</f>
        <v>0.17175211754866679</v>
      </c>
      <c r="Y92" s="145">
        <f t="shared" ref="Y92" ca="1" si="201">+IFERROR(Y91/Y85,"")</f>
        <v>0.16768328894106527</v>
      </c>
      <c r="Z92" s="145">
        <f t="shared" ref="Z92" ca="1" si="202">+IFERROR(Z91/Z85,"")</f>
        <v>0.16387654278581332</v>
      </c>
    </row>
    <row r="93" spans="2:26" x14ac:dyDescent="0.35">
      <c r="B93" s="143" t="s">
        <v>191</v>
      </c>
      <c r="C93" s="141"/>
      <c r="D93" s="141"/>
      <c r="E93" s="141"/>
      <c r="F93" s="142">
        <f ca="1">+F91/Assumptions!$N$132</f>
        <v>0</v>
      </c>
      <c r="G93" s="142">
        <f ca="1">+G91/Assumptions!$N$132</f>
        <v>0</v>
      </c>
      <c r="H93" s="142">
        <f ca="1">+H91/Assumptions!$N$132</f>
        <v>0</v>
      </c>
      <c r="I93" s="142">
        <f ca="1">+I91/Assumptions!$N$132</f>
        <v>1345833.3333333333</v>
      </c>
      <c r="J93" s="142">
        <f ca="1">+J91/Assumptions!$N$132</f>
        <v>2691666.6666666665</v>
      </c>
      <c r="K93" s="142">
        <f ca="1">+K91/Assumptions!$N$132</f>
        <v>2691666.6666666665</v>
      </c>
      <c r="L93" s="142">
        <f ca="1">+L91/Assumptions!$N$132</f>
        <v>2826250</v>
      </c>
      <c r="M93" s="142">
        <f ca="1">+M91/Assumptions!$N$132</f>
        <v>2826250</v>
      </c>
      <c r="N93" s="142">
        <f ca="1">+N91/Assumptions!$N$132</f>
        <v>2826250</v>
      </c>
      <c r="O93" s="142">
        <f ca="1">+O91/Assumptions!$N$132</f>
        <v>2826250</v>
      </c>
      <c r="P93" s="142">
        <f ca="1">+P91/Assumptions!$N$132</f>
        <v>2826250</v>
      </c>
      <c r="Q93" s="142">
        <f ca="1">+Q91/Assumptions!$N$132</f>
        <v>2967562.5</v>
      </c>
      <c r="R93" s="142">
        <f ca="1">+R91/Assumptions!$N$132</f>
        <v>2967562.5</v>
      </c>
      <c r="S93" s="142">
        <f ca="1">+S91/Assumptions!$N$132</f>
        <v>2967562.5</v>
      </c>
      <c r="T93" s="142">
        <f ca="1">+T91/Assumptions!$N$132</f>
        <v>2967562.5</v>
      </c>
      <c r="U93" s="142">
        <f ca="1">+U91/Assumptions!$N$132</f>
        <v>2967562.5</v>
      </c>
      <c r="V93" s="142">
        <f ca="1">+V91/Assumptions!$N$132</f>
        <v>3115940.625</v>
      </c>
      <c r="W93" s="142">
        <f ca="1">+W91/Assumptions!$N$132</f>
        <v>3115940.625</v>
      </c>
      <c r="X93" s="142">
        <f ca="1">+X91/Assumptions!$N$132</f>
        <v>3115940.625</v>
      </c>
      <c r="Y93" s="142">
        <f ca="1">+Y91/Assumptions!$N$132</f>
        <v>3115940.625</v>
      </c>
      <c r="Z93" s="142">
        <f ca="1">+Z91/Assumptions!$N$132</f>
        <v>3115940.625</v>
      </c>
    </row>
    <row r="95" spans="2:26" x14ac:dyDescent="0.35">
      <c r="B95" s="148" t="s">
        <v>148</v>
      </c>
      <c r="C95" s="149"/>
      <c r="D95" s="149"/>
      <c r="E95" s="149"/>
      <c r="F95" s="150">
        <f>+Assumptions!$F$22</f>
        <v>44196</v>
      </c>
      <c r="G95" s="150">
        <f>+EOMONTH(F95,12)</f>
        <v>44561</v>
      </c>
      <c r="H95" s="150">
        <f t="shared" ref="H95:Z95" si="203">+EOMONTH(G95,12)</f>
        <v>44926</v>
      </c>
      <c r="I95" s="150">
        <f t="shared" si="203"/>
        <v>45291</v>
      </c>
      <c r="J95" s="150">
        <f t="shared" si="203"/>
        <v>45657</v>
      </c>
      <c r="K95" s="150">
        <f t="shared" si="203"/>
        <v>46022</v>
      </c>
      <c r="L95" s="150">
        <f t="shared" si="203"/>
        <v>46387</v>
      </c>
      <c r="M95" s="150">
        <f t="shared" si="203"/>
        <v>46752</v>
      </c>
      <c r="N95" s="150">
        <f t="shared" si="203"/>
        <v>47118</v>
      </c>
      <c r="O95" s="150">
        <f t="shared" si="203"/>
        <v>47483</v>
      </c>
      <c r="P95" s="150">
        <f t="shared" si="203"/>
        <v>47848</v>
      </c>
      <c r="Q95" s="150">
        <f t="shared" si="203"/>
        <v>48213</v>
      </c>
      <c r="R95" s="150">
        <f t="shared" si="203"/>
        <v>48579</v>
      </c>
      <c r="S95" s="150">
        <f t="shared" si="203"/>
        <v>48944</v>
      </c>
      <c r="T95" s="150">
        <f t="shared" si="203"/>
        <v>49309</v>
      </c>
      <c r="U95" s="150">
        <f t="shared" si="203"/>
        <v>49674</v>
      </c>
      <c r="V95" s="150">
        <f t="shared" si="203"/>
        <v>50040</v>
      </c>
      <c r="W95" s="150">
        <f t="shared" si="203"/>
        <v>50405</v>
      </c>
      <c r="X95" s="150">
        <f t="shared" si="203"/>
        <v>50770</v>
      </c>
      <c r="Y95" s="150">
        <f t="shared" si="203"/>
        <v>51135</v>
      </c>
      <c r="Z95" s="150">
        <f t="shared" si="203"/>
        <v>51501</v>
      </c>
    </row>
    <row r="96" spans="2:26" x14ac:dyDescent="0.35">
      <c r="B96" s="33" t="s">
        <v>248</v>
      </c>
      <c r="C96" s="33"/>
      <c r="D96" s="40"/>
      <c r="E96" s="40"/>
      <c r="F96" s="42">
        <f>+IF(AND(F95&gt;=Assumptions!$F$26,F95&lt;Assumptions!$F$28),Assumptions!$F$172/ROUNDUP((Assumptions!$F$27/12),0),0)</f>
        <v>0</v>
      </c>
      <c r="G96" s="42">
        <f>+IF(AND(G95&gt;=Assumptions!$F$26,G95&lt;Assumptions!$F$28),Assumptions!$F$172/ROUNDUP((Assumptions!$F$27/12),0),0)</f>
        <v>0</v>
      </c>
      <c r="H96" s="42">
        <f>+IF(AND(H95&gt;=Assumptions!$F$26,H95&lt;Assumptions!$F$28),Assumptions!$F$172/ROUNDUP((Assumptions!$F$27/12),0),0)</f>
        <v>0</v>
      </c>
      <c r="I96" s="42">
        <f>+IF(AND(I95&gt;=Assumptions!$F$26,I95&lt;Assumptions!$F$28),Assumptions!$F$172/ROUNDUP((Assumptions!$F$27/12),0),0)</f>
        <v>205034.40000000002</v>
      </c>
      <c r="J96" s="42">
        <f>+IF(AND(J95&gt;=Assumptions!$F$26,J95&lt;Assumptions!$F$28),Assumptions!$F$172/ROUNDUP((Assumptions!$F$27/12),0),0)</f>
        <v>205034.40000000002</v>
      </c>
      <c r="K96" s="42">
        <f>+IF(AND(K95&gt;=Assumptions!$F$26,K95&lt;Assumptions!$F$28),Assumptions!$F$172/ROUNDUP((Assumptions!$F$27/12),0),0)</f>
        <v>0</v>
      </c>
      <c r="L96" s="42">
        <f>+IF(AND(L95&gt;=Assumptions!$F$26,L95&lt;Assumptions!$F$28),Assumptions!$F$172/ROUNDUP((Assumptions!$F$27/12),0),0)</f>
        <v>0</v>
      </c>
      <c r="M96" s="42">
        <f>+IF(AND(M95&gt;=Assumptions!$F$26,M95&lt;Assumptions!$F$28),Assumptions!$F$172/ROUNDUP((Assumptions!$F$27/12),0),0)</f>
        <v>0</v>
      </c>
      <c r="N96" s="42">
        <f>+IF(AND(N95&gt;=Assumptions!$F$26,N95&lt;Assumptions!$F$28),Assumptions!$F$172/ROUNDUP((Assumptions!$F$27/12),0),0)</f>
        <v>0</v>
      </c>
      <c r="O96" s="42">
        <f>+IF(AND(O95&gt;=Assumptions!$F$26,O95&lt;Assumptions!$F$28),Assumptions!$F$172/ROUNDUP((Assumptions!$F$27/12),0),0)</f>
        <v>0</v>
      </c>
      <c r="P96" s="42">
        <f>+IF(AND(P95&gt;=Assumptions!$F$26,P95&lt;Assumptions!$F$28),Assumptions!$F$172/ROUNDUP((Assumptions!$F$27/12),0),0)</f>
        <v>0</v>
      </c>
      <c r="Q96" s="42">
        <f>+IF(AND(Q95&gt;=Assumptions!$F$26,Q95&lt;Assumptions!$F$28),Assumptions!$F$172/ROUNDUP((Assumptions!$F$27/12),0),0)</f>
        <v>0</v>
      </c>
      <c r="R96" s="42">
        <f>+IF(AND(R95&gt;=Assumptions!$F$26,R95&lt;Assumptions!$F$28),Assumptions!$F$172/ROUNDUP((Assumptions!$F$27/12),0),0)</f>
        <v>0</v>
      </c>
      <c r="S96" s="42">
        <f>+IF(AND(S95&gt;=Assumptions!$F$26,S95&lt;Assumptions!$F$28),Assumptions!$F$172/ROUNDUP((Assumptions!$F$27/12),0),0)</f>
        <v>0</v>
      </c>
      <c r="T96" s="42">
        <f>+IF(AND(T95&gt;=Assumptions!$F$26,T95&lt;Assumptions!$F$28),Assumptions!$F$172/ROUNDUP((Assumptions!$F$27/12),0),0)</f>
        <v>0</v>
      </c>
      <c r="U96" s="42">
        <f>+IF(AND(U95&gt;=Assumptions!$F$26,U95&lt;Assumptions!$F$28),Assumptions!$F$172/ROUNDUP((Assumptions!$F$27/12),0),0)</f>
        <v>0</v>
      </c>
      <c r="V96" s="42">
        <f>+IF(AND(V95&gt;=Assumptions!$F$26,V95&lt;Assumptions!$F$28),Assumptions!$F$172/ROUNDUP((Assumptions!$F$27/12),0),0)</f>
        <v>0</v>
      </c>
      <c r="W96" s="42">
        <f>+IF(AND(W95&gt;=Assumptions!$F$26,W95&lt;Assumptions!$F$28),Assumptions!$F$172/ROUNDUP((Assumptions!$F$27/12),0),0)</f>
        <v>0</v>
      </c>
      <c r="X96" s="42">
        <f>+IF(AND(X95&gt;=Assumptions!$F$26,X95&lt;Assumptions!$F$28),Assumptions!$F$172/ROUNDUP((Assumptions!$F$27/12),0),0)</f>
        <v>0</v>
      </c>
      <c r="Y96" s="42">
        <f>+IF(AND(Y95&gt;=Assumptions!$F$26,Y95&lt;Assumptions!$F$28),Assumptions!$F$172/ROUNDUP((Assumptions!$F$27/12),0),0)</f>
        <v>0</v>
      </c>
      <c r="Z96" s="42">
        <f>+IF(AND(Z95&gt;=Assumptions!$F$26,Z95&lt;Assumptions!$F$28),Assumptions!$F$172/ROUNDUP((Assumptions!$F$27/12),0),0)</f>
        <v>0</v>
      </c>
    </row>
    <row r="97" spans="2:26" x14ac:dyDescent="0.35">
      <c r="B97" s="33" t="s">
        <v>249</v>
      </c>
      <c r="C97" s="33"/>
      <c r="D97" s="42">
        <v>0</v>
      </c>
      <c r="E97" s="42"/>
      <c r="F97" s="42">
        <f>+D97+F96</f>
        <v>0</v>
      </c>
      <c r="G97" s="42">
        <f t="shared" ref="G97" si="204">+F97+G96</f>
        <v>0</v>
      </c>
      <c r="H97" s="42">
        <f t="shared" ref="H97" si="205">+G97+H96</f>
        <v>0</v>
      </c>
      <c r="I97" s="42">
        <f t="shared" ref="I97" si="206">+H97+I96</f>
        <v>205034.40000000002</v>
      </c>
      <c r="J97" s="42">
        <f t="shared" ref="J97" si="207">+I97+J96</f>
        <v>410068.80000000005</v>
      </c>
      <c r="K97" s="42">
        <f t="shared" ref="K97" si="208">+J97+K96</f>
        <v>410068.80000000005</v>
      </c>
      <c r="L97" s="42">
        <f t="shared" ref="L97" si="209">+K97+L96</f>
        <v>410068.80000000005</v>
      </c>
      <c r="M97" s="42">
        <f t="shared" ref="M97" si="210">+L97+M96</f>
        <v>410068.80000000005</v>
      </c>
      <c r="N97" s="42">
        <f t="shared" ref="N97" si="211">+M97+N96</f>
        <v>410068.80000000005</v>
      </c>
      <c r="O97" s="42">
        <f t="shared" ref="O97" si="212">+N97+O96</f>
        <v>410068.80000000005</v>
      </c>
      <c r="P97" s="42">
        <f t="shared" ref="P97" si="213">+O97+P96</f>
        <v>410068.80000000005</v>
      </c>
      <c r="Q97" s="42">
        <f t="shared" ref="Q97" si="214">+P97+Q96</f>
        <v>410068.80000000005</v>
      </c>
      <c r="R97" s="42">
        <f t="shared" ref="R97" si="215">+Q97+R96</f>
        <v>410068.80000000005</v>
      </c>
      <c r="S97" s="42">
        <f t="shared" ref="S97" si="216">+R97+S96</f>
        <v>410068.80000000005</v>
      </c>
      <c r="T97" s="42">
        <f t="shared" ref="T97" si="217">+S97+T96</f>
        <v>410068.80000000005</v>
      </c>
      <c r="U97" s="42">
        <f t="shared" ref="U97" si="218">+T97+U96</f>
        <v>410068.80000000005</v>
      </c>
      <c r="V97" s="42">
        <f t="shared" ref="V97" si="219">+U97+V96</f>
        <v>410068.80000000005</v>
      </c>
      <c r="W97" s="42">
        <f t="shared" ref="W97" si="220">+V97+W96</f>
        <v>410068.80000000005</v>
      </c>
      <c r="X97" s="42">
        <f t="shared" ref="X97" si="221">+W97+X96</f>
        <v>410068.80000000005</v>
      </c>
      <c r="Y97" s="42">
        <f t="shared" ref="Y97" si="222">+X97+Y96</f>
        <v>410068.80000000005</v>
      </c>
      <c r="Z97" s="42">
        <f t="shared" ref="Z97" si="223">+Y97+Z96</f>
        <v>410068.80000000005</v>
      </c>
    </row>
    <row r="98" spans="2:26" x14ac:dyDescent="0.35">
      <c r="B98" s="33" t="s">
        <v>306</v>
      </c>
      <c r="C98" s="33"/>
      <c r="D98" s="42"/>
      <c r="E98" s="42"/>
      <c r="F98" s="108">
        <f t="shared" ref="F98:Z98" si="224">+F97/SUM($F96:$Z96)</f>
        <v>0</v>
      </c>
      <c r="G98" s="108">
        <f t="shared" si="224"/>
        <v>0</v>
      </c>
      <c r="H98" s="108">
        <f t="shared" si="224"/>
        <v>0</v>
      </c>
      <c r="I98" s="108">
        <f t="shared" si="224"/>
        <v>0.5</v>
      </c>
      <c r="J98" s="108">
        <f t="shared" si="224"/>
        <v>1</v>
      </c>
      <c r="K98" s="108">
        <f t="shared" si="224"/>
        <v>1</v>
      </c>
      <c r="L98" s="108">
        <f t="shared" si="224"/>
        <v>1</v>
      </c>
      <c r="M98" s="108">
        <f t="shared" si="224"/>
        <v>1</v>
      </c>
      <c r="N98" s="108">
        <f t="shared" si="224"/>
        <v>1</v>
      </c>
      <c r="O98" s="108">
        <f t="shared" si="224"/>
        <v>1</v>
      </c>
      <c r="P98" s="108">
        <f t="shared" si="224"/>
        <v>1</v>
      </c>
      <c r="Q98" s="108">
        <f t="shared" si="224"/>
        <v>1</v>
      </c>
      <c r="R98" s="108">
        <f t="shared" si="224"/>
        <v>1</v>
      </c>
      <c r="S98" s="108">
        <f t="shared" si="224"/>
        <v>1</v>
      </c>
      <c r="T98" s="108">
        <f t="shared" si="224"/>
        <v>1</v>
      </c>
      <c r="U98" s="108">
        <f t="shared" si="224"/>
        <v>1</v>
      </c>
      <c r="V98" s="108">
        <f t="shared" si="224"/>
        <v>1</v>
      </c>
      <c r="W98" s="108">
        <f t="shared" si="224"/>
        <v>1</v>
      </c>
      <c r="X98" s="108">
        <f t="shared" si="224"/>
        <v>1</v>
      </c>
      <c r="Y98" s="108">
        <f t="shared" si="224"/>
        <v>1</v>
      </c>
      <c r="Z98" s="108">
        <f t="shared" si="224"/>
        <v>1</v>
      </c>
    </row>
    <row r="99" spans="2:26" x14ac:dyDescent="0.35">
      <c r="B99" s="33"/>
      <c r="C99" s="33"/>
      <c r="D99" s="40"/>
      <c r="E99" s="40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2:26" x14ac:dyDescent="0.35">
      <c r="B100" s="33" t="s">
        <v>254</v>
      </c>
      <c r="C100" s="33"/>
      <c r="D100" s="42"/>
      <c r="E100" s="42"/>
      <c r="F100" s="108">
        <v>1</v>
      </c>
      <c r="G100" s="108">
        <f>+IF(MOD(G$2,Assumptions!$N$71)=(Assumptions!$N$71-1),F100*(1+Assumptions!$N$70),'Phase I Pro Forma'!F100)</f>
        <v>1</v>
      </c>
      <c r="H100" s="108">
        <f>+IF(MOD(H$2,Assumptions!$N$71)=(Assumptions!$N$71-1),G100*(1+Assumptions!$N$70),'Phase I Pro Forma'!G100)</f>
        <v>1</v>
      </c>
      <c r="I100" s="108">
        <f>+IF(MOD(I$2,Assumptions!$N$71)=(Assumptions!$N$71-1),H100*(1+Assumptions!$N$70),'Phase I Pro Forma'!H100)</f>
        <v>1</v>
      </c>
      <c r="J100" s="108">
        <f>+IF(MOD(J$2,Assumptions!$N$71)=(Assumptions!$N$71-1),I100*(1+Assumptions!$N$70),'Phase I Pro Forma'!I100)</f>
        <v>1</v>
      </c>
      <c r="K100" s="108">
        <f>+IF(MOD(K$2,Assumptions!$N$71)=(Assumptions!$N$71-1),J100*(1+Assumptions!$N$70),'Phase I Pro Forma'!J100)</f>
        <v>1</v>
      </c>
      <c r="L100" s="108">
        <f>+IF(MOD(L$2,Assumptions!$N$71)=(Assumptions!$N$71-1),K100*(1+Assumptions!$N$70),'Phase I Pro Forma'!K100)</f>
        <v>1.1000000000000001</v>
      </c>
      <c r="M100" s="108">
        <f>+IF(MOD(M$2,Assumptions!$N$71)=(Assumptions!$N$71-1),L100*(1+Assumptions!$N$70),'Phase I Pro Forma'!L100)</f>
        <v>1.1000000000000001</v>
      </c>
      <c r="N100" s="108">
        <f>+IF(MOD(N$2,Assumptions!$N$71)=(Assumptions!$N$71-1),M100*(1+Assumptions!$N$70),'Phase I Pro Forma'!M100)</f>
        <v>1.1000000000000001</v>
      </c>
      <c r="O100" s="108">
        <f>+IF(MOD(O$2,Assumptions!$N$71)=(Assumptions!$N$71-1),N100*(1+Assumptions!$N$70),'Phase I Pro Forma'!N100)</f>
        <v>1.1000000000000001</v>
      </c>
      <c r="P100" s="108">
        <f>+IF(MOD(P$2,Assumptions!$N$71)=(Assumptions!$N$71-1),O100*(1+Assumptions!$N$70),'Phase I Pro Forma'!O100)</f>
        <v>1.1000000000000001</v>
      </c>
      <c r="Q100" s="108">
        <f>+IF(MOD(Q$2,Assumptions!$N$71)=(Assumptions!$N$71-1),P100*(1+Assumptions!$N$70),'Phase I Pro Forma'!P100)</f>
        <v>1.2100000000000002</v>
      </c>
      <c r="R100" s="108">
        <f>+IF(MOD(R$2,Assumptions!$N$71)=(Assumptions!$N$71-1),Q100*(1+Assumptions!$N$70),'Phase I Pro Forma'!Q100)</f>
        <v>1.2100000000000002</v>
      </c>
      <c r="S100" s="108">
        <f>+IF(MOD(S$2,Assumptions!$N$71)=(Assumptions!$N$71-1),R100*(1+Assumptions!$N$70),'Phase I Pro Forma'!R100)</f>
        <v>1.2100000000000002</v>
      </c>
      <c r="T100" s="108">
        <f>+IF(MOD(T$2,Assumptions!$N$71)=(Assumptions!$N$71-1),S100*(1+Assumptions!$N$70),'Phase I Pro Forma'!S100)</f>
        <v>1.2100000000000002</v>
      </c>
      <c r="U100" s="108">
        <f>+IF(MOD(U$2,Assumptions!$N$71)=(Assumptions!$N$71-1),T100*(1+Assumptions!$N$70),'Phase I Pro Forma'!T100)</f>
        <v>1.2100000000000002</v>
      </c>
      <c r="V100" s="108">
        <f>+IF(MOD(V$2,Assumptions!$N$71)=(Assumptions!$N$71-1),U100*(1+Assumptions!$N$70),'Phase I Pro Forma'!U100)</f>
        <v>1.3310000000000004</v>
      </c>
      <c r="W100" s="108">
        <f>+IF(MOD(W$2,Assumptions!$N$71)=(Assumptions!$N$71-1),V100*(1+Assumptions!$N$70),'Phase I Pro Forma'!V100)</f>
        <v>1.3310000000000004</v>
      </c>
      <c r="X100" s="108">
        <f>+IF(MOD(X$2,Assumptions!$N$71)=(Assumptions!$N$71-1),W100*(1+Assumptions!$N$70),'Phase I Pro Forma'!W100)</f>
        <v>1.3310000000000004</v>
      </c>
      <c r="Y100" s="108">
        <f>+IF(MOD(Y$2,Assumptions!$N$71)=(Assumptions!$N$71-1),X100*(1+Assumptions!$N$70),'Phase I Pro Forma'!X100)</f>
        <v>1.3310000000000004</v>
      </c>
      <c r="Z100" s="108">
        <f>+IF(MOD(Z$2,Assumptions!$N$71)=(Assumptions!$N$71-1),Y100*(1+Assumptions!$N$70),'Phase I Pro Forma'!Y100)</f>
        <v>1.3310000000000004</v>
      </c>
    </row>
    <row r="101" spans="2:26" x14ac:dyDescent="0.35">
      <c r="B101" s="33" t="s">
        <v>255</v>
      </c>
      <c r="C101" s="33"/>
      <c r="D101" s="42"/>
      <c r="E101" s="42"/>
      <c r="F101" s="108">
        <v>1</v>
      </c>
      <c r="G101" s="108">
        <f>+F101*(1+Assumptions!$N$80)</f>
        <v>1.03</v>
      </c>
      <c r="H101" s="108">
        <f>+G101*(1+Assumptions!$N$80)</f>
        <v>1.0609</v>
      </c>
      <c r="I101" s="108">
        <f>+H101*(1+Assumptions!$N$80)</f>
        <v>1.092727</v>
      </c>
      <c r="J101" s="108">
        <f>+I101*(1+Assumptions!$N$80)</f>
        <v>1.1255088100000001</v>
      </c>
      <c r="K101" s="108">
        <f>+J101*(1+Assumptions!$N$80)</f>
        <v>1.1592740743000001</v>
      </c>
      <c r="L101" s="108">
        <f>+K101*(1+Assumptions!$N$80)</f>
        <v>1.1940522965290001</v>
      </c>
      <c r="M101" s="108">
        <f>+L101*(1+Assumptions!$N$80)</f>
        <v>1.2298738654248702</v>
      </c>
      <c r="N101" s="108">
        <f>+M101*(1+Assumptions!$N$80)</f>
        <v>1.2667700813876164</v>
      </c>
      <c r="O101" s="108">
        <f>+N101*(1+Assumptions!$N$80)</f>
        <v>1.3047731838292449</v>
      </c>
      <c r="P101" s="108">
        <f>+O101*(1+Assumptions!$N$80)</f>
        <v>1.3439163793441222</v>
      </c>
      <c r="Q101" s="108">
        <f>+P101*(1+Assumptions!$N$80)</f>
        <v>1.3842338707244459</v>
      </c>
      <c r="R101" s="108">
        <f>+Q101*(1+Assumptions!$N$80)</f>
        <v>1.4257608868461793</v>
      </c>
      <c r="S101" s="108">
        <f>+R101*(1+Assumptions!$N$80)</f>
        <v>1.4685337134515648</v>
      </c>
      <c r="T101" s="108">
        <f>+S101*(1+Assumptions!$N$80)</f>
        <v>1.5125897248551119</v>
      </c>
      <c r="U101" s="108">
        <f>+T101*(1+Assumptions!$N$80)</f>
        <v>1.5579674166007653</v>
      </c>
      <c r="V101" s="108">
        <f>+U101*(1+Assumptions!$N$80)</f>
        <v>1.6047064390987884</v>
      </c>
      <c r="W101" s="108">
        <f>+V101*(1+Assumptions!$N$80)</f>
        <v>1.652847632271752</v>
      </c>
      <c r="X101" s="108">
        <f>+W101*(1+Assumptions!$N$80)</f>
        <v>1.7024330612399046</v>
      </c>
      <c r="Y101" s="108">
        <f>+X101*(1+Assumptions!$N$80)</f>
        <v>1.7535060530771018</v>
      </c>
      <c r="Z101" s="108">
        <f>+Y101*(1+Assumptions!$N$80)</f>
        <v>1.806111234669415</v>
      </c>
    </row>
    <row r="102" spans="2:26" x14ac:dyDescent="0.35">
      <c r="B102" s="33"/>
      <c r="C102" s="33"/>
      <c r="D102" s="40"/>
      <c r="E102" s="40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2:26" x14ac:dyDescent="0.35">
      <c r="B103" s="33" t="s">
        <v>246</v>
      </c>
      <c r="C103" s="33"/>
      <c r="D103" s="40"/>
      <c r="E103" s="40"/>
      <c r="F103" s="34">
        <f>+F98*Assumptions!$F$171*F100</f>
        <v>0</v>
      </c>
      <c r="G103" s="34">
        <f>+G98*Assumptions!$F$171*G100</f>
        <v>0</v>
      </c>
      <c r="H103" s="34">
        <f>+H98*Assumptions!$F$171*H100</f>
        <v>0</v>
      </c>
      <c r="I103" s="34">
        <f>+I98*Assumptions!$F$171*I100</f>
        <v>4920825.6000000006</v>
      </c>
      <c r="J103" s="34">
        <f>+J98*Assumptions!$F$171*J100</f>
        <v>9841651.2000000011</v>
      </c>
      <c r="K103" s="34">
        <f>+K98*Assumptions!$F$171*K100</f>
        <v>9841651.2000000011</v>
      </c>
      <c r="L103" s="34">
        <f>+L98*Assumptions!$F$171*L100</f>
        <v>10825816.320000002</v>
      </c>
      <c r="M103" s="34">
        <f>+M98*Assumptions!$F$171*M100</f>
        <v>10825816.320000002</v>
      </c>
      <c r="N103" s="34">
        <f>+N98*Assumptions!$F$171*N100</f>
        <v>10825816.320000002</v>
      </c>
      <c r="O103" s="34">
        <f>+O98*Assumptions!$F$171*O100</f>
        <v>10825816.320000002</v>
      </c>
      <c r="P103" s="34">
        <f>+P98*Assumptions!$F$171*P100</f>
        <v>10825816.320000002</v>
      </c>
      <c r="Q103" s="34">
        <f>+Q98*Assumptions!$F$171*Q100</f>
        <v>11908397.952000003</v>
      </c>
      <c r="R103" s="34">
        <f>+R98*Assumptions!$F$171*R100</f>
        <v>11908397.952000003</v>
      </c>
      <c r="S103" s="34">
        <f>+S98*Assumptions!$F$171*S100</f>
        <v>11908397.952000003</v>
      </c>
      <c r="T103" s="34">
        <f>+T98*Assumptions!$F$171*T100</f>
        <v>11908397.952000003</v>
      </c>
      <c r="U103" s="34">
        <f>+U98*Assumptions!$F$171*U100</f>
        <v>11908397.952000003</v>
      </c>
      <c r="V103" s="34">
        <f>+V98*Assumptions!$F$171*V100</f>
        <v>13099237.747200005</v>
      </c>
      <c r="W103" s="34">
        <f>+W98*Assumptions!$F$171*W100</f>
        <v>13099237.747200005</v>
      </c>
      <c r="X103" s="34">
        <f>+X98*Assumptions!$F$171*X100</f>
        <v>13099237.747200005</v>
      </c>
      <c r="Y103" s="34">
        <f>+Y98*Assumptions!$F$171*Y100</f>
        <v>13099237.747200005</v>
      </c>
      <c r="Z103" s="34">
        <f>+Z98*Assumptions!$F$171*Z100</f>
        <v>13099237.747200005</v>
      </c>
    </row>
    <row r="104" spans="2:26" x14ac:dyDescent="0.35">
      <c r="B104" s="33" t="s">
        <v>247</v>
      </c>
      <c r="C104" s="33"/>
      <c r="D104" s="40"/>
      <c r="E104" s="40"/>
      <c r="F104" s="42">
        <f>-F103*Assumptions!$N$58</f>
        <v>0</v>
      </c>
      <c r="G104" s="42">
        <f>-G103*Assumptions!$N$58</f>
        <v>0</v>
      </c>
      <c r="H104" s="42">
        <f>-H103*Assumptions!$N$58</f>
        <v>0</v>
      </c>
      <c r="I104" s="42">
        <f>-I103*Assumptions!$N$58</f>
        <v>-492082.56000000006</v>
      </c>
      <c r="J104" s="42">
        <f>-J103*Assumptions!$N$58</f>
        <v>-984165.12000000011</v>
      </c>
      <c r="K104" s="42">
        <f>-K103*Assumptions!$N$58</f>
        <v>-984165.12000000011</v>
      </c>
      <c r="L104" s="42">
        <f>-L103*Assumptions!$N$58</f>
        <v>-1082581.6320000002</v>
      </c>
      <c r="M104" s="42">
        <f>-M103*Assumptions!$N$58</f>
        <v>-1082581.6320000002</v>
      </c>
      <c r="N104" s="42">
        <f>-N103*Assumptions!$N$58</f>
        <v>-1082581.6320000002</v>
      </c>
      <c r="O104" s="42">
        <f>-O103*Assumptions!$N$58</f>
        <v>-1082581.6320000002</v>
      </c>
      <c r="P104" s="42">
        <f>-P103*Assumptions!$N$58</f>
        <v>-1082581.6320000002</v>
      </c>
      <c r="Q104" s="42">
        <f>-Q103*Assumptions!$N$58</f>
        <v>-1190839.7952000003</v>
      </c>
      <c r="R104" s="42">
        <f>-R103*Assumptions!$N$58</f>
        <v>-1190839.7952000003</v>
      </c>
      <c r="S104" s="42">
        <f>-S103*Assumptions!$N$58</f>
        <v>-1190839.7952000003</v>
      </c>
      <c r="T104" s="42">
        <f>-T103*Assumptions!$N$58</f>
        <v>-1190839.7952000003</v>
      </c>
      <c r="U104" s="42">
        <f>-U103*Assumptions!$N$58</f>
        <v>-1190839.7952000003</v>
      </c>
      <c r="V104" s="42">
        <f>-V103*Assumptions!$N$58</f>
        <v>-1309923.7747200006</v>
      </c>
      <c r="W104" s="42">
        <f>-W103*Assumptions!$N$58</f>
        <v>-1309923.7747200006</v>
      </c>
      <c r="X104" s="42">
        <f>-X103*Assumptions!$N$58</f>
        <v>-1309923.7747200006</v>
      </c>
      <c r="Y104" s="42">
        <f>-Y103*Assumptions!$N$58</f>
        <v>-1309923.7747200006</v>
      </c>
      <c r="Z104" s="42">
        <f>-Z103*Assumptions!$N$58</f>
        <v>-1309923.7747200006</v>
      </c>
    </row>
    <row r="105" spans="2:26" x14ac:dyDescent="0.35">
      <c r="B105" s="33" t="s">
        <v>262</v>
      </c>
      <c r="C105" s="33"/>
      <c r="D105" s="40"/>
      <c r="E105" s="40"/>
      <c r="F105" s="151">
        <f ca="1">+F110*Assumptions!$N$91</f>
        <v>0</v>
      </c>
      <c r="G105" s="151">
        <f ca="1">+G110*Assumptions!$N$91</f>
        <v>0</v>
      </c>
      <c r="H105" s="151">
        <f ca="1">+H110*Assumptions!$N$91</f>
        <v>0</v>
      </c>
      <c r="I105" s="151">
        <f ca="1">+I110*Assumptions!$N$91</f>
        <v>2824965.3967519626</v>
      </c>
      <c r="J105" s="151">
        <f ca="1">+J110*Assumptions!$N$91</f>
        <v>5793175.7037231931</v>
      </c>
      <c r="K105" s="151">
        <f ca="1">+K110*Assumptions!$N$91</f>
        <v>5886636.7532621836</v>
      </c>
      <c r="L105" s="151">
        <f ca="1">+L110*Assumptions!$N$91</f>
        <v>5982901.6342873452</v>
      </c>
      <c r="M105" s="151">
        <f ca="1">+M110*Assumptions!$N$91</f>
        <v>6135610.6094583971</v>
      </c>
      <c r="N105" s="151">
        <f ca="1">+N110*Assumptions!$N$91</f>
        <v>6237738.02173799</v>
      </c>
      <c r="O105" s="151">
        <f ca="1">+O110*Assumptions!$N$91</f>
        <v>6342929.2563859709</v>
      </c>
      <c r="P105" s="151">
        <f ca="1">+P110*Assumptions!$N$91</f>
        <v>6505903.4987428309</v>
      </c>
      <c r="Q105" s="151">
        <f ca="1">+Q110*Assumptions!$N$91</f>
        <v>6617500.879580874</v>
      </c>
      <c r="R105" s="151">
        <f ca="1">+R110*Assumptions!$N$91</f>
        <v>6732446.1818440575</v>
      </c>
      <c r="S105" s="151">
        <f ca="1">+S110*Assumptions!$N$91</f>
        <v>6906559.6592579661</v>
      </c>
      <c r="T105" s="151">
        <f ca="1">+T110*Assumptions!$N$91</f>
        <v>7028505.1304289782</v>
      </c>
      <c r="U105" s="151">
        <f ca="1">+U110*Assumptions!$N$91</f>
        <v>7154108.9657351207</v>
      </c>
      <c r="V105" s="151">
        <f ca="1">+V110*Assumptions!$N$91</f>
        <v>7340315.1285049329</v>
      </c>
      <c r="W105" s="151">
        <f ca="1">+W110*Assumptions!$N$91</f>
        <v>7473568.2373812189</v>
      </c>
      <c r="X105" s="151">
        <f ca="1">+X110*Assumptions!$N$91</f>
        <v>7610818.9395237947</v>
      </c>
      <c r="Y105" s="151">
        <f ca="1">+Y110*Assumptions!$N$91</f>
        <v>7810158.05938322</v>
      </c>
      <c r="Z105" s="151">
        <f ca="1">+Z110*Assumptions!$N$91</f>
        <v>7955767.3292862792</v>
      </c>
    </row>
    <row r="106" spans="2:26" x14ac:dyDescent="0.35">
      <c r="B106" s="137" t="s">
        <v>256</v>
      </c>
      <c r="C106" s="137"/>
      <c r="D106" s="137"/>
      <c r="E106" s="137"/>
      <c r="F106" s="129">
        <f t="shared" ref="F106:Z106" ca="1" si="225">+SUM(F103:F105)</f>
        <v>0</v>
      </c>
      <c r="G106" s="129">
        <f t="shared" ca="1" si="225"/>
        <v>0</v>
      </c>
      <c r="H106" s="129">
        <f t="shared" ca="1" si="225"/>
        <v>0</v>
      </c>
      <c r="I106" s="129">
        <f t="shared" ca="1" si="225"/>
        <v>7253708.4367519636</v>
      </c>
      <c r="J106" s="129">
        <f t="shared" ca="1" si="225"/>
        <v>14650661.783723194</v>
      </c>
      <c r="K106" s="129">
        <f t="shared" ca="1" si="225"/>
        <v>14744122.833262186</v>
      </c>
      <c r="L106" s="129">
        <f t="shared" ca="1" si="225"/>
        <v>15726136.322287347</v>
      </c>
      <c r="M106" s="129">
        <f t="shared" ca="1" si="225"/>
        <v>15878845.297458399</v>
      </c>
      <c r="N106" s="129">
        <f t="shared" ca="1" si="225"/>
        <v>15980972.70973799</v>
      </c>
      <c r="O106" s="129">
        <f t="shared" ca="1" si="225"/>
        <v>16086163.944385972</v>
      </c>
      <c r="P106" s="129">
        <f t="shared" ca="1" si="225"/>
        <v>16249138.186742831</v>
      </c>
      <c r="Q106" s="129">
        <f t="shared" ca="1" si="225"/>
        <v>17335059.03638088</v>
      </c>
      <c r="R106" s="129">
        <f t="shared" ca="1" si="225"/>
        <v>17450004.338644061</v>
      </c>
      <c r="S106" s="129">
        <f t="shared" ca="1" si="225"/>
        <v>17624117.816057969</v>
      </c>
      <c r="T106" s="129">
        <f t="shared" ca="1" si="225"/>
        <v>17746063.287228983</v>
      </c>
      <c r="U106" s="129">
        <f t="shared" ca="1" si="225"/>
        <v>17871667.122535124</v>
      </c>
      <c r="V106" s="129">
        <f t="shared" ca="1" si="225"/>
        <v>19129629.100984938</v>
      </c>
      <c r="W106" s="129">
        <f t="shared" ca="1" si="225"/>
        <v>19262882.209861223</v>
      </c>
      <c r="X106" s="129">
        <f t="shared" ca="1" si="225"/>
        <v>19400132.9120038</v>
      </c>
      <c r="Y106" s="129">
        <f t="shared" ca="1" si="225"/>
        <v>19599472.031863224</v>
      </c>
      <c r="Z106" s="129">
        <f t="shared" ca="1" si="225"/>
        <v>19745081.301766284</v>
      </c>
    </row>
    <row r="108" spans="2:26" x14ac:dyDescent="0.35">
      <c r="B108" s="33" t="s">
        <v>395</v>
      </c>
      <c r="F108" s="34">
        <f>+F97*Assumptions!$N$123*'Phase I Pro Forma'!F101</f>
        <v>0</v>
      </c>
      <c r="G108" s="34">
        <f>+G97*Assumptions!$N$123*'Phase I Pro Forma'!G101</f>
        <v>0</v>
      </c>
      <c r="H108" s="34">
        <f>+H97*Assumptions!$N$123*'Phase I Pro Forma'!H101</f>
        <v>0</v>
      </c>
      <c r="I108" s="34">
        <f>+I97*Assumptions!$N$123*'Phase I Pro Forma'!I101</f>
        <v>1680349.6860660003</v>
      </c>
      <c r="J108" s="34">
        <f>+J97*Assumptions!$N$123*'Phase I Pro Forma'!J101</f>
        <v>3461520.3532959609</v>
      </c>
      <c r="K108" s="34">
        <f>+K97*Assumptions!$N$123*'Phase I Pro Forma'!K101</f>
        <v>3565365.9638948394</v>
      </c>
      <c r="L108" s="34">
        <f>+L97*Assumptions!$N$123*'Phase I Pro Forma'!L101</f>
        <v>3672326.9428116851</v>
      </c>
      <c r="M108" s="34">
        <f>+M97*Assumptions!$N$123*'Phase I Pro Forma'!M101</f>
        <v>3782496.7510960358</v>
      </c>
      <c r="N108" s="34">
        <f>+N97*Assumptions!$N$123*'Phase I Pro Forma'!N101</f>
        <v>3895971.6536289169</v>
      </c>
      <c r="O108" s="34">
        <f>+O97*Assumptions!$N$123*'Phase I Pro Forma'!O101</f>
        <v>4012850.8032377847</v>
      </c>
      <c r="P108" s="34">
        <f>+P97*Assumptions!$N$123*'Phase I Pro Forma'!P101</f>
        <v>4133236.3273349181</v>
      </c>
      <c r="Q108" s="34">
        <f>+Q97*Assumptions!$N$123*'Phase I Pro Forma'!Q101</f>
        <v>4257233.4171549659</v>
      </c>
      <c r="R108" s="34">
        <f>+R97*Assumptions!$N$123*'Phase I Pro Forma'!R101</f>
        <v>4384950.4196696142</v>
      </c>
      <c r="S108" s="34">
        <f>+S97*Assumptions!$N$123*'Phase I Pro Forma'!S101</f>
        <v>4516498.9322597031</v>
      </c>
      <c r="T108" s="34">
        <f>+T97*Assumptions!$N$123*'Phase I Pro Forma'!T101</f>
        <v>4651993.9002274955</v>
      </c>
      <c r="U108" s="34">
        <f>+U97*Assumptions!$N$123*'Phase I Pro Forma'!U101</f>
        <v>4791553.71723432</v>
      </c>
      <c r="V108" s="34">
        <f>+V97*Assumptions!$N$123*'Phase I Pro Forma'!V101</f>
        <v>4935300.3287513498</v>
      </c>
      <c r="W108" s="34">
        <f>+W97*Assumptions!$N$123*'Phase I Pro Forma'!W101</f>
        <v>5083359.3386138901</v>
      </c>
      <c r="X108" s="34">
        <f>+X97*Assumptions!$N$123*'Phase I Pro Forma'!X101</f>
        <v>5235860.1187723074</v>
      </c>
      <c r="Y108" s="34">
        <f>+Y97*Assumptions!$N$123*'Phase I Pro Forma'!Y101</f>
        <v>5392935.9223354766</v>
      </c>
      <c r="Z108" s="34">
        <f>+Z97*Assumptions!$N$123*'Phase I Pro Forma'!Z101</f>
        <v>5554724.0000055414</v>
      </c>
    </row>
    <row r="109" spans="2:26" x14ac:dyDescent="0.35">
      <c r="B109" s="33" t="s">
        <v>331</v>
      </c>
      <c r="F109" s="151">
        <f ca="1">+IFERROR(INDEX('Taxes and TIF'!$M$11:$M$45,MATCH('Phase I Pro Forma'!F$7,'Taxes and TIF'!$B$11:$B$45,0)),0)*'Loan Sizing'!$I$19*F98</f>
        <v>0</v>
      </c>
      <c r="G109" s="151">
        <f ca="1">+IFERROR(INDEX('Taxes and TIF'!$M$11:$M$45,MATCH('Phase I Pro Forma'!G$7,'Taxes and TIF'!$B$11:$B$45,0)),0)*'Loan Sizing'!$I$19*G98</f>
        <v>0</v>
      </c>
      <c r="H109" s="151">
        <f ca="1">+IFERROR(INDEX('Taxes and TIF'!$M$11:$M$45,MATCH('Phase I Pro Forma'!H$7,'Taxes and TIF'!$B$11:$B$45,0)),0)*'Loan Sizing'!$I$19*H98</f>
        <v>0</v>
      </c>
      <c r="I109" s="151">
        <f ca="1">+IFERROR(INDEX('Taxes and TIF'!$M$11:$M$45,MATCH('Phase I Pro Forma'!I$7,'Taxes and TIF'!$B$11:$B$45,0)),0)*'Loan Sizing'!$I$19*I98</f>
        <v>1458500.7547695141</v>
      </c>
      <c r="J109" s="151">
        <f ca="1">+IFERROR(INDEX('Taxes and TIF'!$M$11:$M$45,MATCH('Phase I Pro Forma'!J$7,'Taxes and TIF'!$B$11:$B$45,0)),0)*'Loan Sizing'!$I$19*J98</f>
        <v>2975341.5397298089</v>
      </c>
      <c r="K109" s="151">
        <f ca="1">+IFERROR(INDEX('Taxes and TIF'!$M$11:$M$45,MATCH('Phase I Pro Forma'!K$7,'Taxes and TIF'!$B$11:$B$45,0)),0)*'Loan Sizing'!$I$19*K98</f>
        <v>2975341.5397298089</v>
      </c>
      <c r="L109" s="151">
        <f ca="1">+IFERROR(INDEX('Taxes and TIF'!$M$11:$M$45,MATCH('Phase I Pro Forma'!L$7,'Taxes and TIF'!$B$11:$B$45,0)),0)*'Loan Sizing'!$I$19*L98</f>
        <v>2975341.5397298089</v>
      </c>
      <c r="M109" s="151">
        <f ca="1">+IFERROR(INDEX('Taxes and TIF'!$M$11:$M$45,MATCH('Phase I Pro Forma'!M$7,'Taxes and TIF'!$B$11:$B$45,0)),0)*'Loan Sizing'!$I$19*M98</f>
        <v>3034848.3705244055</v>
      </c>
      <c r="N109" s="151">
        <f ca="1">+IFERROR(INDEX('Taxes and TIF'!$M$11:$M$45,MATCH('Phase I Pro Forma'!N$7,'Taxes and TIF'!$B$11:$B$45,0)),0)*'Loan Sizing'!$I$19*N98</f>
        <v>3034848.3705244055</v>
      </c>
      <c r="O109" s="151">
        <f ca="1">+IFERROR(INDEX('Taxes and TIF'!$M$11:$M$45,MATCH('Phase I Pro Forma'!O$7,'Taxes and TIF'!$B$11:$B$45,0)),0)*'Loan Sizing'!$I$19*O98</f>
        <v>3034848.3705244055</v>
      </c>
      <c r="P109" s="151">
        <f ca="1">+IFERROR(INDEX('Taxes and TIF'!$M$11:$M$45,MATCH('Phase I Pro Forma'!P$7,'Taxes and TIF'!$B$11:$B$45,0)),0)*'Loan Sizing'!$I$19*P98</f>
        <v>3095545.3379348936</v>
      </c>
      <c r="Q109" s="151">
        <f ca="1">+IFERROR(INDEX('Taxes and TIF'!$M$11:$M$45,MATCH('Phase I Pro Forma'!Q$7,'Taxes and TIF'!$B$11:$B$45,0)),0)*'Loan Sizing'!$I$19*Q98</f>
        <v>3095545.3379348936</v>
      </c>
      <c r="R109" s="151">
        <f ca="1">+IFERROR(INDEX('Taxes and TIF'!$M$11:$M$45,MATCH('Phase I Pro Forma'!R$7,'Taxes and TIF'!$B$11:$B$45,0)),0)*'Loan Sizing'!$I$19*R98</f>
        <v>3095545.3379348936</v>
      </c>
      <c r="S109" s="151">
        <f ca="1">+IFERROR(INDEX('Taxes and TIF'!$M$11:$M$45,MATCH('Phase I Pro Forma'!S$7,'Taxes and TIF'!$B$11:$B$45,0)),0)*'Loan Sizing'!$I$19*S98</f>
        <v>3157456.2446935917</v>
      </c>
      <c r="T109" s="151">
        <f ca="1">+IFERROR(INDEX('Taxes and TIF'!$M$11:$M$45,MATCH('Phase I Pro Forma'!T$7,'Taxes and TIF'!$B$11:$B$45,0)),0)*'Loan Sizing'!$I$19*T98</f>
        <v>3157456.2446935917</v>
      </c>
      <c r="U109" s="151">
        <f ca="1">+IFERROR(INDEX('Taxes and TIF'!$M$11:$M$45,MATCH('Phase I Pro Forma'!U$7,'Taxes and TIF'!$B$11:$B$45,0)),0)*'Loan Sizing'!$I$19*U98</f>
        <v>3157456.2446935917</v>
      </c>
      <c r="V109" s="151">
        <f ca="1">+IFERROR(INDEX('Taxes and TIF'!$M$11:$M$45,MATCH('Phase I Pro Forma'!V$7,'Taxes and TIF'!$B$11:$B$45,0)),0)*'Loan Sizing'!$I$19*V98</f>
        <v>3220605.3695874638</v>
      </c>
      <c r="W109" s="151">
        <f ca="1">+IFERROR(INDEX('Taxes and TIF'!$M$11:$M$45,MATCH('Phase I Pro Forma'!W$7,'Taxes and TIF'!$B$11:$B$45,0)),0)*'Loan Sizing'!$I$19*W98</f>
        <v>3220605.3695874638</v>
      </c>
      <c r="X109" s="151">
        <f ca="1">+IFERROR(INDEX('Taxes and TIF'!$M$11:$M$45,MATCH('Phase I Pro Forma'!X$7,'Taxes and TIF'!$B$11:$B$45,0)),0)*'Loan Sizing'!$I$19*X98</f>
        <v>3220605.3695874638</v>
      </c>
      <c r="Y109" s="151">
        <f ca="1">+IFERROR(INDEX('Taxes and TIF'!$M$11:$M$45,MATCH('Phase I Pro Forma'!Y$7,'Taxes and TIF'!$B$11:$B$45,0)),0)*'Loan Sizing'!$I$19*Y98</f>
        <v>3285017.4769792124</v>
      </c>
      <c r="Z109" s="151">
        <f ca="1">+IFERROR(INDEX('Taxes and TIF'!$M$11:$M$45,MATCH('Phase I Pro Forma'!Z$7,'Taxes and TIF'!$B$11:$B$45,0)),0)*'Loan Sizing'!$I$19*Z98</f>
        <v>3285017.4769792124</v>
      </c>
    </row>
    <row r="110" spans="2:26" x14ac:dyDescent="0.35">
      <c r="B110" s="137" t="s">
        <v>252</v>
      </c>
      <c r="C110" s="137"/>
      <c r="D110" s="137"/>
      <c r="E110" s="137"/>
      <c r="F110" s="129">
        <f ca="1">+SUM(F108:F109)</f>
        <v>0</v>
      </c>
      <c r="G110" s="129">
        <f t="shared" ref="G110" ca="1" si="226">+SUM(G108:G109)</f>
        <v>0</v>
      </c>
      <c r="H110" s="129">
        <f t="shared" ref="H110" ca="1" si="227">+SUM(H108:H109)</f>
        <v>0</v>
      </c>
      <c r="I110" s="129">
        <f t="shared" ref="I110" ca="1" si="228">+SUM(I108:I109)</f>
        <v>3138850.4408355141</v>
      </c>
      <c r="J110" s="129">
        <f t="shared" ref="J110" ca="1" si="229">+SUM(J108:J109)</f>
        <v>6436861.8930257699</v>
      </c>
      <c r="K110" s="129">
        <f t="shared" ref="K110" ca="1" si="230">+SUM(K108:K109)</f>
        <v>6540707.5036246479</v>
      </c>
      <c r="L110" s="129">
        <f t="shared" ref="L110" ca="1" si="231">+SUM(L108:L109)</f>
        <v>6647668.4825414941</v>
      </c>
      <c r="M110" s="129">
        <f t="shared" ref="M110" ca="1" si="232">+SUM(M108:M109)</f>
        <v>6817345.1216204409</v>
      </c>
      <c r="N110" s="129">
        <f t="shared" ref="N110" ca="1" si="233">+SUM(N108:N109)</f>
        <v>6930820.024153322</v>
      </c>
      <c r="O110" s="129">
        <f t="shared" ref="O110" ca="1" si="234">+SUM(O108:O109)</f>
        <v>7047699.1737621902</v>
      </c>
      <c r="P110" s="129">
        <f t="shared" ref="P110" ca="1" si="235">+SUM(P108:P109)</f>
        <v>7228781.6652698116</v>
      </c>
      <c r="Q110" s="129">
        <f t="shared" ref="Q110" ca="1" si="236">+SUM(Q108:Q109)</f>
        <v>7352778.7550898595</v>
      </c>
      <c r="R110" s="129">
        <f t="shared" ref="R110" ca="1" si="237">+SUM(R108:R109)</f>
        <v>7480495.7576045077</v>
      </c>
      <c r="S110" s="129">
        <f t="shared" ref="S110" ca="1" si="238">+SUM(S108:S109)</f>
        <v>7673955.1769532952</v>
      </c>
      <c r="T110" s="129">
        <f t="shared" ref="T110" ca="1" si="239">+SUM(T108:T109)</f>
        <v>7809450.1449210867</v>
      </c>
      <c r="U110" s="129">
        <f t="shared" ref="U110" ca="1" si="240">+SUM(U108:U109)</f>
        <v>7949009.9619279113</v>
      </c>
      <c r="V110" s="129">
        <f t="shared" ref="V110" ca="1" si="241">+SUM(V108:V109)</f>
        <v>8155905.6983388141</v>
      </c>
      <c r="W110" s="129">
        <f t="shared" ref="W110" ca="1" si="242">+SUM(W108:W109)</f>
        <v>8303964.7082013544</v>
      </c>
      <c r="X110" s="129">
        <f t="shared" ref="X110" ca="1" si="243">+SUM(X108:X109)</f>
        <v>8456465.4883597717</v>
      </c>
      <c r="Y110" s="129">
        <f t="shared" ref="Y110" ca="1" si="244">+SUM(Y108:Y109)</f>
        <v>8677953.3993146885</v>
      </c>
      <c r="Z110" s="129">
        <f t="shared" ref="Z110" ca="1" si="245">+SUM(Z108:Z109)</f>
        <v>8839741.4769847542</v>
      </c>
    </row>
    <row r="111" spans="2:26" x14ac:dyDescent="0.35">
      <c r="B111" s="33"/>
    </row>
    <row r="112" spans="2:26" x14ac:dyDescent="0.35">
      <c r="B112" s="138" t="s">
        <v>251</v>
      </c>
      <c r="C112" s="138"/>
      <c r="D112" s="138"/>
      <c r="E112" s="138"/>
      <c r="F112" s="139">
        <f ca="1">+F106-F110</f>
        <v>0</v>
      </c>
      <c r="G112" s="139">
        <f t="shared" ref="G112:Z112" ca="1" si="246">+G106-G110</f>
        <v>0</v>
      </c>
      <c r="H112" s="139">
        <f t="shared" ca="1" si="246"/>
        <v>0</v>
      </c>
      <c r="I112" s="139">
        <f t="shared" ca="1" si="246"/>
        <v>4114857.9959164495</v>
      </c>
      <c r="J112" s="139">
        <f t="shared" ca="1" si="246"/>
        <v>8213799.8906974243</v>
      </c>
      <c r="K112" s="139">
        <f t="shared" ca="1" si="246"/>
        <v>8203415.3296375386</v>
      </c>
      <c r="L112" s="139">
        <f t="shared" ca="1" si="246"/>
        <v>9078467.8397458531</v>
      </c>
      <c r="M112" s="139">
        <f t="shared" ca="1" si="246"/>
        <v>9061500.1758379582</v>
      </c>
      <c r="N112" s="139">
        <f t="shared" ca="1" si="246"/>
        <v>9050152.6855846681</v>
      </c>
      <c r="O112" s="139">
        <f t="shared" ca="1" si="246"/>
        <v>9038464.7706237808</v>
      </c>
      <c r="P112" s="139">
        <f t="shared" ca="1" si="246"/>
        <v>9020356.5214730203</v>
      </c>
      <c r="Q112" s="139">
        <f t="shared" ca="1" si="246"/>
        <v>9982280.2812910192</v>
      </c>
      <c r="R112" s="139">
        <f t="shared" ca="1" si="246"/>
        <v>9969508.5810395535</v>
      </c>
      <c r="S112" s="139">
        <f t="shared" ca="1" si="246"/>
        <v>9950162.6391046736</v>
      </c>
      <c r="T112" s="139">
        <f t="shared" ca="1" si="246"/>
        <v>9936613.1423078962</v>
      </c>
      <c r="U112" s="139">
        <f t="shared" ca="1" si="246"/>
        <v>9922657.1606072132</v>
      </c>
      <c r="V112" s="139">
        <f t="shared" ca="1" si="246"/>
        <v>10973723.402646124</v>
      </c>
      <c r="W112" s="139">
        <f t="shared" ca="1" si="246"/>
        <v>10958917.501659868</v>
      </c>
      <c r="X112" s="139">
        <f t="shared" ca="1" si="246"/>
        <v>10943667.423644029</v>
      </c>
      <c r="Y112" s="139">
        <f t="shared" ca="1" si="246"/>
        <v>10921518.632548535</v>
      </c>
      <c r="Z112" s="139">
        <f t="shared" ca="1" si="246"/>
        <v>10905339.82478153</v>
      </c>
    </row>
    <row r="113" spans="2:26" x14ac:dyDescent="0.35">
      <c r="B113" s="143" t="s">
        <v>257</v>
      </c>
      <c r="C113" s="141"/>
      <c r="D113" s="141"/>
      <c r="E113" s="141"/>
      <c r="F113" s="144" t="str">
        <f ca="1">+IFERROR(F112/F106,"")</f>
        <v/>
      </c>
      <c r="G113" s="144" t="str">
        <f t="shared" ref="G113" ca="1" si="247">+IFERROR(G112/G106,"")</f>
        <v/>
      </c>
      <c r="H113" s="144" t="str">
        <f t="shared" ref="H113" ca="1" si="248">+IFERROR(H112/H106,"")</f>
        <v/>
      </c>
      <c r="I113" s="145">
        <f t="shared" ref="I113" ca="1" si="249">+IFERROR(I112/I106,"")</f>
        <v>0.56727645338871435</v>
      </c>
      <c r="J113" s="145">
        <f t="shared" ref="J113" ca="1" si="250">+IFERROR(J112/J106,"")</f>
        <v>0.56064360859267881</v>
      </c>
      <c r="K113" s="145">
        <f t="shared" ref="K113" ca="1" si="251">+IFERROR(K112/K106,"")</f>
        <v>0.55638544404492762</v>
      </c>
      <c r="L113" s="145">
        <f t="shared" ref="L113" ca="1" si="252">+IFERROR(L112/L106,"")</f>
        <v>0.5772853327539641</v>
      </c>
      <c r="M113" s="145">
        <f t="shared" ref="M113" ca="1" si="253">+IFERROR(M112/M106,"")</f>
        <v>0.57066493224720571</v>
      </c>
      <c r="N113" s="145">
        <f t="shared" ref="N113" ca="1" si="254">+IFERROR(N112/N106,"")</f>
        <v>0.56630799951682331</v>
      </c>
      <c r="O113" s="145">
        <f t="shared" ref="O113" ca="1" si="255">+IFERROR(O112/O106,"")</f>
        <v>0.56187819556434282</v>
      </c>
      <c r="P113" s="145">
        <f t="shared" ref="P113" ca="1" si="256">+IFERROR(P112/P106,"")</f>
        <v>0.55512830390183088</v>
      </c>
      <c r="Q113" s="145">
        <f t="shared" ref="Q113" ca="1" si="257">+IFERROR(Q112/Q106,"")</f>
        <v>0.5758434546049902</v>
      </c>
      <c r="R113" s="145">
        <f t="shared" ref="R113" ca="1" si="258">+IFERROR(R112/R106,"")</f>
        <v>0.57131840127749944</v>
      </c>
      <c r="S113" s="145">
        <f t="shared" ref="S113" ca="1" si="259">+IFERROR(S112/S106,"")</f>
        <v>0.56457649358419071</v>
      </c>
      <c r="T113" s="145">
        <f t="shared" ref="T113" ca="1" si="260">+IFERROR(T112/T106,"")</f>
        <v>0.55993337685540745</v>
      </c>
      <c r="U113" s="145">
        <f t="shared" ref="U113" ca="1" si="261">+IFERROR(U112/U106,"")</f>
        <v>0.55521721015580716</v>
      </c>
      <c r="V113" s="145">
        <f t="shared" ref="V113" ca="1" si="262">+IFERROR(V112/V106,"")</f>
        <v>0.57365060998914574</v>
      </c>
      <c r="W113" s="145">
        <f t="shared" ref="W113" ca="1" si="263">+IFERROR(W112/W106,"")</f>
        <v>0.56891369537886094</v>
      </c>
      <c r="X113" s="145">
        <f t="shared" ref="X113" ca="1" si="264">+IFERROR(X112/X106,"")</f>
        <v>0.56410270348574021</v>
      </c>
      <c r="Y113" s="145">
        <f t="shared" ref="Y113" ca="1" si="265">+IFERROR(Y112/Y106,"")</f>
        <v>0.55723534872741576</v>
      </c>
      <c r="Z113" s="145">
        <f t="shared" ref="Z113" ca="1" si="266">+IFERROR(Z112/Z106,"")</f>
        <v>0.5523066559268105</v>
      </c>
    </row>
    <row r="114" spans="2:26" x14ac:dyDescent="0.35">
      <c r="B114" s="143" t="s">
        <v>191</v>
      </c>
      <c r="C114" s="141"/>
      <c r="D114" s="141"/>
      <c r="E114" s="141"/>
      <c r="F114" s="142">
        <f ca="1">+F112/Assumptions!$N$133</f>
        <v>0</v>
      </c>
      <c r="G114" s="142">
        <f ca="1">+G112/Assumptions!$N$133</f>
        <v>0</v>
      </c>
      <c r="H114" s="142">
        <f ca="1">+H112/Assumptions!$N$133</f>
        <v>0</v>
      </c>
      <c r="I114" s="142">
        <f ca="1">+I112/Assumptions!$N$133</f>
        <v>63305507.629483834</v>
      </c>
      <c r="J114" s="142">
        <f ca="1">+J112/Assumptions!$N$133</f>
        <v>126366152.16457576</v>
      </c>
      <c r="K114" s="142">
        <f ca="1">+K112/Assumptions!$N$133</f>
        <v>126206389.68673135</v>
      </c>
      <c r="L114" s="142">
        <f ca="1">+L112/Assumptions!$N$133</f>
        <v>139668735.99609005</v>
      </c>
      <c r="M114" s="142">
        <f ca="1">+M112/Assumptions!$N$133</f>
        <v>139407695.01289165</v>
      </c>
      <c r="N114" s="142">
        <f ca="1">+N112/Assumptions!$N$133</f>
        <v>139233118.23976412</v>
      </c>
      <c r="O114" s="142">
        <f ca="1">+O112/Assumptions!$N$133</f>
        <v>139053304.16344279</v>
      </c>
      <c r="P114" s="142">
        <f ca="1">+P112/Assumptions!$N$133</f>
        <v>138774715.71496955</v>
      </c>
      <c r="Q114" s="142">
        <f ca="1">+Q112/Assumptions!$N$133</f>
        <v>153573542.7890926</v>
      </c>
      <c r="R114" s="142">
        <f ca="1">+R112/Assumptions!$N$133</f>
        <v>153377055.09291619</v>
      </c>
      <c r="S114" s="142">
        <f ca="1">+S112/Assumptions!$N$133</f>
        <v>153079425.21699497</v>
      </c>
      <c r="T114" s="142">
        <f ca="1">+T112/Assumptions!$N$133</f>
        <v>152870971.42012146</v>
      </c>
      <c r="U114" s="142">
        <f ca="1">+U112/Assumptions!$N$133</f>
        <v>152656264.00934175</v>
      </c>
      <c r="V114" s="142">
        <f ca="1">+V112/Assumptions!$N$133</f>
        <v>168826513.88686344</v>
      </c>
      <c r="W114" s="142">
        <f ca="1">+W112/Assumptions!$N$133</f>
        <v>168598730.7947672</v>
      </c>
      <c r="X114" s="142">
        <f ca="1">+X112/Assumptions!$N$133</f>
        <v>168364114.20990813</v>
      </c>
      <c r="Y114" s="142">
        <f ca="1">+Y112/Assumptions!$N$133</f>
        <v>168023363.57766977</v>
      </c>
      <c r="Z114" s="142">
        <f ca="1">+Z112/Assumptions!$N$133</f>
        <v>167774458.84279275</v>
      </c>
    </row>
    <row r="116" spans="2:26" x14ac:dyDescent="0.35">
      <c r="B116" s="148" t="s">
        <v>224</v>
      </c>
      <c r="C116" s="149"/>
      <c r="D116" s="149"/>
      <c r="E116" s="149"/>
      <c r="F116" s="150">
        <f>+Assumptions!$F$22</f>
        <v>44196</v>
      </c>
      <c r="G116" s="150">
        <f>+EOMONTH(F116,12)</f>
        <v>44561</v>
      </c>
      <c r="H116" s="150">
        <f t="shared" ref="H116:Z116" si="267">+EOMONTH(G116,12)</f>
        <v>44926</v>
      </c>
      <c r="I116" s="150">
        <f t="shared" si="267"/>
        <v>45291</v>
      </c>
      <c r="J116" s="150">
        <f t="shared" si="267"/>
        <v>45657</v>
      </c>
      <c r="K116" s="150">
        <f t="shared" si="267"/>
        <v>46022</v>
      </c>
      <c r="L116" s="150">
        <f t="shared" si="267"/>
        <v>46387</v>
      </c>
      <c r="M116" s="150">
        <f t="shared" si="267"/>
        <v>46752</v>
      </c>
      <c r="N116" s="150">
        <f t="shared" si="267"/>
        <v>47118</v>
      </c>
      <c r="O116" s="150">
        <f t="shared" si="267"/>
        <v>47483</v>
      </c>
      <c r="P116" s="150">
        <f t="shared" si="267"/>
        <v>47848</v>
      </c>
      <c r="Q116" s="150">
        <f t="shared" si="267"/>
        <v>48213</v>
      </c>
      <c r="R116" s="150">
        <f t="shared" si="267"/>
        <v>48579</v>
      </c>
      <c r="S116" s="150">
        <f t="shared" si="267"/>
        <v>48944</v>
      </c>
      <c r="T116" s="150">
        <f t="shared" si="267"/>
        <v>49309</v>
      </c>
      <c r="U116" s="150">
        <f t="shared" si="267"/>
        <v>49674</v>
      </c>
      <c r="V116" s="150">
        <f t="shared" si="267"/>
        <v>50040</v>
      </c>
      <c r="W116" s="150">
        <f t="shared" si="267"/>
        <v>50405</v>
      </c>
      <c r="X116" s="150">
        <f t="shared" si="267"/>
        <v>50770</v>
      </c>
      <c r="Y116" s="150">
        <f t="shared" si="267"/>
        <v>51135</v>
      </c>
      <c r="Z116" s="150">
        <f t="shared" si="267"/>
        <v>51501</v>
      </c>
    </row>
    <row r="117" spans="2:26" x14ac:dyDescent="0.35">
      <c r="B117" s="33" t="s">
        <v>766</v>
      </c>
      <c r="C117" s="33"/>
      <c r="D117" s="40"/>
      <c r="E117" s="40"/>
      <c r="F117" s="42">
        <f>+IF(AND(F116&gt;=Assumptions!$F$26,F116&lt;Assumptions!$F$28),SUM(Assumptions!$F$204:$F$205)/ROUNDUP((Assumptions!$F$27/12),0),0)</f>
        <v>0</v>
      </c>
      <c r="G117" s="42">
        <f>+IF(AND(G116&gt;=Assumptions!$F$26,G116&lt;Assumptions!$F$28),SUM(Assumptions!$F$204:$F$205)/ROUNDUP((Assumptions!$F$27/12),0),0)</f>
        <v>0</v>
      </c>
      <c r="H117" s="42">
        <f>+IF(AND(H116&gt;=Assumptions!$F$26,H116&lt;Assumptions!$F$28),SUM(Assumptions!$F$204:$F$205)/ROUNDUP((Assumptions!$F$27/12),0),0)</f>
        <v>0</v>
      </c>
      <c r="I117" s="42">
        <f>+IF(AND(I116&gt;=Assumptions!$F$26,I116&lt;Assumptions!$F$28),SUM(Assumptions!$F$204:$F$205)/ROUNDUP((Assumptions!$F$27/12),0),0)</f>
        <v>41500</v>
      </c>
      <c r="J117" s="42">
        <f>+IF(AND(J116&gt;=Assumptions!$F$26,J116&lt;Assumptions!$F$28),SUM(Assumptions!$F$204:$F$205)/ROUNDUP((Assumptions!$F$27/12),0),0)</f>
        <v>41500</v>
      </c>
      <c r="K117" s="42">
        <f>+IF(AND(K116&gt;=Assumptions!$F$26,K116&lt;Assumptions!$F$28),SUM(Assumptions!$F$204:$F$205)/ROUNDUP((Assumptions!$F$27/12),0),0)</f>
        <v>0</v>
      </c>
      <c r="L117" s="42">
        <f>+IF(AND(L116&gt;=Assumptions!$F$26,L116&lt;Assumptions!$F$28),SUM(Assumptions!$F$204:$F$205)/ROUNDUP((Assumptions!$F$27/12),0),0)</f>
        <v>0</v>
      </c>
      <c r="M117" s="42">
        <f>+IF(AND(M116&gt;=Assumptions!$F$26,M116&lt;Assumptions!$F$28),SUM(Assumptions!$F$204:$F$205)/ROUNDUP((Assumptions!$F$27/12),0),0)</f>
        <v>0</v>
      </c>
      <c r="N117" s="42">
        <f>+IF(AND(N116&gt;=Assumptions!$F$26,N116&lt;Assumptions!$F$28),SUM(Assumptions!$F$204:$F$205)/ROUNDUP((Assumptions!$F$27/12),0),0)</f>
        <v>0</v>
      </c>
      <c r="O117" s="42">
        <f>+IF(AND(O116&gt;=Assumptions!$F$26,O116&lt;Assumptions!$F$28),SUM(Assumptions!$F$204:$F$205)/ROUNDUP((Assumptions!$F$27/12),0),0)</f>
        <v>0</v>
      </c>
      <c r="P117" s="42">
        <f>+IF(AND(P116&gt;=Assumptions!$F$26,P116&lt;Assumptions!$F$28),SUM(Assumptions!$F$204:$F$205)/ROUNDUP((Assumptions!$F$27/12),0),0)</f>
        <v>0</v>
      </c>
      <c r="Q117" s="42">
        <f>+IF(AND(Q116&gt;=Assumptions!$F$26,Q116&lt;Assumptions!$F$28),SUM(Assumptions!$F$204:$F$205)/ROUNDUP((Assumptions!$F$27/12),0),0)</f>
        <v>0</v>
      </c>
      <c r="R117" s="42">
        <f>+IF(AND(R116&gt;=Assumptions!$F$26,R116&lt;Assumptions!$F$28),SUM(Assumptions!$F$204:$F$205)/ROUNDUP((Assumptions!$F$27/12),0),0)</f>
        <v>0</v>
      </c>
      <c r="S117" s="42">
        <f>+IF(AND(S116&gt;=Assumptions!$F$26,S116&lt;Assumptions!$F$28),SUM(Assumptions!$F$204:$F$205)/ROUNDUP((Assumptions!$F$27/12),0),0)</f>
        <v>0</v>
      </c>
      <c r="T117" s="42">
        <f>+IF(AND(T116&gt;=Assumptions!$F$26,T116&lt;Assumptions!$F$28),SUM(Assumptions!$F$204:$F$205)/ROUNDUP((Assumptions!$F$27/12),0),0)</f>
        <v>0</v>
      </c>
      <c r="U117" s="42">
        <f>+IF(AND(U116&gt;=Assumptions!$F$26,U116&lt;Assumptions!$F$28),SUM(Assumptions!$F$204:$F$205)/ROUNDUP((Assumptions!$F$27/12),0),0)</f>
        <v>0</v>
      </c>
      <c r="V117" s="42">
        <f>+IF(AND(V116&gt;=Assumptions!$F$26,V116&lt;Assumptions!$F$28),SUM(Assumptions!$F$204:$F$205)/ROUNDUP((Assumptions!$F$27/12),0),0)</f>
        <v>0</v>
      </c>
      <c r="W117" s="42">
        <f>+IF(AND(W116&gt;=Assumptions!$F$26,W116&lt;Assumptions!$F$28),SUM(Assumptions!$F$204:$F$205)/ROUNDUP((Assumptions!$F$27/12),0),0)</f>
        <v>0</v>
      </c>
      <c r="X117" s="42">
        <f>+IF(AND(X116&gt;=Assumptions!$F$26,X116&lt;Assumptions!$F$28),SUM(Assumptions!$F$204:$F$205)/ROUNDUP((Assumptions!$F$27/12),0),0)</f>
        <v>0</v>
      </c>
      <c r="Y117" s="42">
        <f>+IF(AND(Y116&gt;=Assumptions!$F$26,Y116&lt;Assumptions!$F$28),SUM(Assumptions!$F$204:$F$205)/ROUNDUP((Assumptions!$F$27/12),0),0)</f>
        <v>0</v>
      </c>
      <c r="Z117" s="42">
        <f>+IF(AND(Z116&gt;=Assumptions!$F$26,Z116&lt;Assumptions!$F$28),SUM(Assumptions!$F$204:$F$205)/ROUNDUP((Assumptions!$F$27/12),0),0)</f>
        <v>0</v>
      </c>
    </row>
    <row r="118" spans="2:26" x14ac:dyDescent="0.35">
      <c r="B118" s="33" t="s">
        <v>496</v>
      </c>
      <c r="C118" s="33"/>
      <c r="D118" s="42"/>
      <c r="E118" s="42"/>
      <c r="F118" s="42">
        <f>+F119-E119</f>
        <v>0</v>
      </c>
      <c r="G118" s="42">
        <f t="shared" ref="G118" si="268">+G119-F119</f>
        <v>0</v>
      </c>
      <c r="H118" s="42">
        <f t="shared" ref="H118" si="269">+H119-G119</f>
        <v>0</v>
      </c>
      <c r="I118" s="42">
        <f t="shared" ref="I118" si="270">+I119-H119</f>
        <v>125.75757575757575</v>
      </c>
      <c r="J118" s="42">
        <f t="shared" ref="J118" si="271">+J119-I119</f>
        <v>125.75757575757575</v>
      </c>
      <c r="K118" s="42">
        <f t="shared" ref="K118" si="272">+K119-J119</f>
        <v>0</v>
      </c>
      <c r="L118" s="42">
        <f t="shared" ref="L118" si="273">+L119-K119</f>
        <v>0</v>
      </c>
      <c r="M118" s="42">
        <f t="shared" ref="M118" si="274">+M119-L119</f>
        <v>0</v>
      </c>
      <c r="N118" s="42">
        <f t="shared" ref="N118" si="275">+N119-M119</f>
        <v>0</v>
      </c>
      <c r="O118" s="42">
        <f t="shared" ref="O118" si="276">+O119-N119</f>
        <v>0</v>
      </c>
      <c r="P118" s="42">
        <f t="shared" ref="P118" si="277">+P119-O119</f>
        <v>0</v>
      </c>
      <c r="Q118" s="42">
        <f t="shared" ref="Q118" si="278">+Q119-P119</f>
        <v>0</v>
      </c>
      <c r="R118" s="42">
        <f t="shared" ref="R118" si="279">+R119-Q119</f>
        <v>0</v>
      </c>
      <c r="S118" s="42">
        <f t="shared" ref="S118" si="280">+S119-R119</f>
        <v>0</v>
      </c>
      <c r="T118" s="42">
        <f t="shared" ref="T118" si="281">+T119-S119</f>
        <v>0</v>
      </c>
      <c r="U118" s="42">
        <f t="shared" ref="U118" si="282">+U119-T119</f>
        <v>0</v>
      </c>
      <c r="V118" s="42">
        <f t="shared" ref="V118" si="283">+V119-U119</f>
        <v>0</v>
      </c>
      <c r="W118" s="42">
        <f t="shared" ref="W118" si="284">+W119-V119</f>
        <v>0</v>
      </c>
      <c r="X118" s="42">
        <f t="shared" ref="X118" si="285">+X119-W119</f>
        <v>0</v>
      </c>
      <c r="Y118" s="42">
        <f t="shared" ref="Y118" si="286">+Y119-X119</f>
        <v>0</v>
      </c>
      <c r="Z118" s="42">
        <f t="shared" ref="Z118" si="287">+Z119-Y119</f>
        <v>0</v>
      </c>
    </row>
    <row r="119" spans="2:26" x14ac:dyDescent="0.35">
      <c r="B119" s="33" t="s">
        <v>250</v>
      </c>
      <c r="C119" s="33"/>
      <c r="D119" s="40"/>
      <c r="E119" s="40"/>
      <c r="F119" s="42">
        <f>+F121*SUM(Assumptions!$N$49:$N$50)</f>
        <v>0</v>
      </c>
      <c r="G119" s="42">
        <f>+G121*SUM(Assumptions!$N$49:$N$50)</f>
        <v>0</v>
      </c>
      <c r="H119" s="42">
        <f>+H121*SUM(Assumptions!$N$49:$N$50)</f>
        <v>0</v>
      </c>
      <c r="I119" s="42">
        <f>+I121*SUM(Assumptions!$N$49:$N$50)</f>
        <v>125.75757575757575</v>
      </c>
      <c r="J119" s="42">
        <f>+J121*SUM(Assumptions!$N$49:$N$50)</f>
        <v>251.5151515151515</v>
      </c>
      <c r="K119" s="42">
        <f>+K121*SUM(Assumptions!$N$49:$N$50)</f>
        <v>251.5151515151515</v>
      </c>
      <c r="L119" s="42">
        <f>+L121*SUM(Assumptions!$N$49:$N$50)</f>
        <v>251.5151515151515</v>
      </c>
      <c r="M119" s="42">
        <f>+M121*SUM(Assumptions!$N$49:$N$50)</f>
        <v>251.5151515151515</v>
      </c>
      <c r="N119" s="42">
        <f>+N121*SUM(Assumptions!$N$49:$N$50)</f>
        <v>251.5151515151515</v>
      </c>
      <c r="O119" s="42">
        <f>+O121*SUM(Assumptions!$N$49:$N$50)</f>
        <v>251.5151515151515</v>
      </c>
      <c r="P119" s="42">
        <f>+P121*SUM(Assumptions!$N$49:$N$50)</f>
        <v>251.5151515151515</v>
      </c>
      <c r="Q119" s="42">
        <f>+Q121*SUM(Assumptions!$N$49:$N$50)</f>
        <v>251.5151515151515</v>
      </c>
      <c r="R119" s="42">
        <f>+R121*SUM(Assumptions!$N$49:$N$50)</f>
        <v>251.5151515151515</v>
      </c>
      <c r="S119" s="42">
        <f>+S121*SUM(Assumptions!$N$49:$N$50)</f>
        <v>251.5151515151515</v>
      </c>
      <c r="T119" s="42">
        <f>+T121*SUM(Assumptions!$N$49:$N$50)</f>
        <v>251.5151515151515</v>
      </c>
      <c r="U119" s="42">
        <f>+U121*SUM(Assumptions!$N$49:$N$50)</f>
        <v>251.5151515151515</v>
      </c>
      <c r="V119" s="42">
        <f>+V121*SUM(Assumptions!$N$49:$N$50)</f>
        <v>251.5151515151515</v>
      </c>
      <c r="W119" s="42">
        <f>+W121*SUM(Assumptions!$N$49:$N$50)</f>
        <v>251.5151515151515</v>
      </c>
      <c r="X119" s="42">
        <f>+X121*SUM(Assumptions!$N$49:$N$50)</f>
        <v>251.5151515151515</v>
      </c>
      <c r="Y119" s="42">
        <f>+Y121*SUM(Assumptions!$N$49:$N$50)</f>
        <v>251.5151515151515</v>
      </c>
      <c r="Z119" s="42">
        <f>+Z121*SUM(Assumptions!$N$49:$N$50)</f>
        <v>251.5151515151515</v>
      </c>
    </row>
    <row r="120" spans="2:26" x14ac:dyDescent="0.35">
      <c r="B120" s="33" t="s">
        <v>249</v>
      </c>
      <c r="C120" s="33"/>
      <c r="D120" s="42">
        <v>0</v>
      </c>
      <c r="E120" s="42"/>
      <c r="F120" s="42">
        <f>+D120+F117</f>
        <v>0</v>
      </c>
      <c r="G120" s="42">
        <f t="shared" ref="G120:Z120" si="288">+F120+G117</f>
        <v>0</v>
      </c>
      <c r="H120" s="42">
        <f t="shared" si="288"/>
        <v>0</v>
      </c>
      <c r="I120" s="42">
        <f t="shared" si="288"/>
        <v>41500</v>
      </c>
      <c r="J120" s="42">
        <f t="shared" si="288"/>
        <v>83000</v>
      </c>
      <c r="K120" s="42">
        <f t="shared" si="288"/>
        <v>83000</v>
      </c>
      <c r="L120" s="42">
        <f t="shared" si="288"/>
        <v>83000</v>
      </c>
      <c r="M120" s="42">
        <f t="shared" si="288"/>
        <v>83000</v>
      </c>
      <c r="N120" s="42">
        <f t="shared" si="288"/>
        <v>83000</v>
      </c>
      <c r="O120" s="42">
        <f t="shared" si="288"/>
        <v>83000</v>
      </c>
      <c r="P120" s="42">
        <f t="shared" si="288"/>
        <v>83000</v>
      </c>
      <c r="Q120" s="42">
        <f t="shared" si="288"/>
        <v>83000</v>
      </c>
      <c r="R120" s="42">
        <f t="shared" si="288"/>
        <v>83000</v>
      </c>
      <c r="S120" s="42">
        <f t="shared" si="288"/>
        <v>83000</v>
      </c>
      <c r="T120" s="42">
        <f t="shared" si="288"/>
        <v>83000</v>
      </c>
      <c r="U120" s="42">
        <f t="shared" si="288"/>
        <v>83000</v>
      </c>
      <c r="V120" s="42">
        <f t="shared" si="288"/>
        <v>83000</v>
      </c>
      <c r="W120" s="42">
        <f t="shared" si="288"/>
        <v>83000</v>
      </c>
      <c r="X120" s="42">
        <f t="shared" si="288"/>
        <v>83000</v>
      </c>
      <c r="Y120" s="42">
        <f t="shared" si="288"/>
        <v>83000</v>
      </c>
      <c r="Z120" s="42">
        <f t="shared" si="288"/>
        <v>83000</v>
      </c>
    </row>
    <row r="121" spans="2:26" x14ac:dyDescent="0.35">
      <c r="B121" s="33" t="s">
        <v>306</v>
      </c>
      <c r="C121" s="33"/>
      <c r="D121" s="42"/>
      <c r="E121" s="42"/>
      <c r="F121" s="108">
        <f t="shared" ref="F121:Z121" si="289">+F120/SUM($F117:$Z117)</f>
        <v>0</v>
      </c>
      <c r="G121" s="108">
        <f t="shared" si="289"/>
        <v>0</v>
      </c>
      <c r="H121" s="108">
        <f t="shared" si="289"/>
        <v>0</v>
      </c>
      <c r="I121" s="108">
        <f t="shared" si="289"/>
        <v>0.5</v>
      </c>
      <c r="J121" s="108">
        <f t="shared" si="289"/>
        <v>1</v>
      </c>
      <c r="K121" s="108">
        <f t="shared" si="289"/>
        <v>1</v>
      </c>
      <c r="L121" s="108">
        <f t="shared" si="289"/>
        <v>1</v>
      </c>
      <c r="M121" s="108">
        <f t="shared" si="289"/>
        <v>1</v>
      </c>
      <c r="N121" s="108">
        <f t="shared" si="289"/>
        <v>1</v>
      </c>
      <c r="O121" s="108">
        <f t="shared" si="289"/>
        <v>1</v>
      </c>
      <c r="P121" s="108">
        <f t="shared" si="289"/>
        <v>1</v>
      </c>
      <c r="Q121" s="108">
        <f t="shared" si="289"/>
        <v>1</v>
      </c>
      <c r="R121" s="108">
        <f t="shared" si="289"/>
        <v>1</v>
      </c>
      <c r="S121" s="108">
        <f t="shared" si="289"/>
        <v>1</v>
      </c>
      <c r="T121" s="108">
        <f t="shared" si="289"/>
        <v>1</v>
      </c>
      <c r="U121" s="108">
        <f t="shared" si="289"/>
        <v>1</v>
      </c>
      <c r="V121" s="108">
        <f t="shared" si="289"/>
        <v>1</v>
      </c>
      <c r="W121" s="108">
        <f t="shared" si="289"/>
        <v>1</v>
      </c>
      <c r="X121" s="108">
        <f t="shared" si="289"/>
        <v>1</v>
      </c>
      <c r="Y121" s="108">
        <f t="shared" si="289"/>
        <v>1</v>
      </c>
      <c r="Z121" s="108">
        <f t="shared" si="289"/>
        <v>1</v>
      </c>
    </row>
    <row r="122" spans="2:26" x14ac:dyDescent="0.35">
      <c r="B122" s="33"/>
      <c r="C122" s="33"/>
      <c r="D122" s="40"/>
      <c r="E122" s="40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2:26" x14ac:dyDescent="0.35">
      <c r="B123" s="33" t="s">
        <v>254</v>
      </c>
      <c r="C123" s="33"/>
      <c r="D123" s="42"/>
      <c r="E123" s="42"/>
      <c r="F123" s="108">
        <v>1</v>
      </c>
      <c r="G123" s="108">
        <f>+F123*(1+Assumptions!$N$74)</f>
        <v>1.02</v>
      </c>
      <c r="H123" s="108">
        <f>+G123*(1+Assumptions!$N$74)</f>
        <v>1.0404</v>
      </c>
      <c r="I123" s="108">
        <f>+H123*(1+Assumptions!$N$74)</f>
        <v>1.0612079999999999</v>
      </c>
      <c r="J123" s="108">
        <f>+I123*(1+Assumptions!$N$74)</f>
        <v>1.08243216</v>
      </c>
      <c r="K123" s="108">
        <f>+J123*(1+Assumptions!$N$74)</f>
        <v>1.1040808032</v>
      </c>
      <c r="L123" s="108">
        <f>+K123*(1+Assumptions!$N$74)</f>
        <v>1.1261624192640001</v>
      </c>
      <c r="M123" s="108">
        <f>+L123*(1+Assumptions!$N$74)</f>
        <v>1.14868566764928</v>
      </c>
      <c r="N123" s="108">
        <f>+M123*(1+Assumptions!$N$74)</f>
        <v>1.1716593810022657</v>
      </c>
      <c r="O123" s="108">
        <f>+N123*(1+Assumptions!$N$74)</f>
        <v>1.1950925686223111</v>
      </c>
      <c r="P123" s="108">
        <f>+O123*(1+Assumptions!$N$74)</f>
        <v>1.2189944199947573</v>
      </c>
      <c r="Q123" s="108">
        <f>+P123*(1+Assumptions!$N$74)</f>
        <v>1.2433743083946525</v>
      </c>
      <c r="R123" s="108">
        <f>+Q123*(1+Assumptions!$N$74)</f>
        <v>1.2682417945625455</v>
      </c>
      <c r="S123" s="108">
        <f>+R123*(1+Assumptions!$N$74)</f>
        <v>1.2936066304537963</v>
      </c>
      <c r="T123" s="108">
        <f>+S123*(1+Assumptions!$N$74)</f>
        <v>1.3194787630628724</v>
      </c>
      <c r="U123" s="108">
        <f>+T123*(1+Assumptions!$N$74)</f>
        <v>1.3458683383241299</v>
      </c>
      <c r="V123" s="108">
        <f>+U123*(1+Assumptions!$N$74)</f>
        <v>1.3727857050906125</v>
      </c>
      <c r="W123" s="108">
        <f>+V123*(1+Assumptions!$N$74)</f>
        <v>1.4002414191924248</v>
      </c>
      <c r="X123" s="108">
        <f>+W123*(1+Assumptions!$N$74)</f>
        <v>1.4282462475762734</v>
      </c>
      <c r="Y123" s="108">
        <f>+X123*(1+Assumptions!$N$74)</f>
        <v>1.4568111725277988</v>
      </c>
      <c r="Z123" s="108">
        <f>+Y123*(1+Assumptions!$N$74)</f>
        <v>1.4859473959783549</v>
      </c>
    </row>
    <row r="124" spans="2:26" x14ac:dyDescent="0.35">
      <c r="B124" s="33" t="s">
        <v>255</v>
      </c>
      <c r="C124" s="33"/>
      <c r="D124" s="42"/>
      <c r="E124" s="42"/>
      <c r="F124" s="108">
        <v>1</v>
      </c>
      <c r="G124" s="108">
        <f>+F124*(1+Assumptions!$N$82)</f>
        <v>1.03</v>
      </c>
      <c r="H124" s="108">
        <f>+G124*(1+Assumptions!$N$82)</f>
        <v>1.0609</v>
      </c>
      <c r="I124" s="108">
        <f>+H124*(1+Assumptions!$N$82)</f>
        <v>1.092727</v>
      </c>
      <c r="J124" s="108">
        <f>+I124*(1+Assumptions!$N$82)</f>
        <v>1.1255088100000001</v>
      </c>
      <c r="K124" s="108">
        <f>+J124*(1+Assumptions!$N$82)</f>
        <v>1.1592740743000001</v>
      </c>
      <c r="L124" s="108">
        <f>+K124*(1+Assumptions!$N$82)</f>
        <v>1.1940522965290001</v>
      </c>
      <c r="M124" s="108">
        <f>+L124*(1+Assumptions!$N$82)</f>
        <v>1.2298738654248702</v>
      </c>
      <c r="N124" s="108">
        <f>+M124*(1+Assumptions!$N$82)</f>
        <v>1.2667700813876164</v>
      </c>
      <c r="O124" s="108">
        <f>+N124*(1+Assumptions!$N$82)</f>
        <v>1.3047731838292449</v>
      </c>
      <c r="P124" s="108">
        <f>+O124*(1+Assumptions!$N$82)</f>
        <v>1.3439163793441222</v>
      </c>
      <c r="Q124" s="108">
        <f>+P124*(1+Assumptions!$N$82)</f>
        <v>1.3842338707244459</v>
      </c>
      <c r="R124" s="108">
        <f>+Q124*(1+Assumptions!$N$82)</f>
        <v>1.4257608868461793</v>
      </c>
      <c r="S124" s="108">
        <f>+R124*(1+Assumptions!$N$82)</f>
        <v>1.4685337134515648</v>
      </c>
      <c r="T124" s="108">
        <f>+S124*(1+Assumptions!$N$82)</f>
        <v>1.5125897248551119</v>
      </c>
      <c r="U124" s="108">
        <f>+T124*(1+Assumptions!$N$82)</f>
        <v>1.5579674166007653</v>
      </c>
      <c r="V124" s="108">
        <f>+U124*(1+Assumptions!$N$82)</f>
        <v>1.6047064390987884</v>
      </c>
      <c r="W124" s="108">
        <f>+V124*(1+Assumptions!$N$82)</f>
        <v>1.652847632271752</v>
      </c>
      <c r="X124" s="108">
        <f>+W124*(1+Assumptions!$N$82)</f>
        <v>1.7024330612399046</v>
      </c>
      <c r="Y124" s="108">
        <f>+X124*(1+Assumptions!$N$82)</f>
        <v>1.7535060530771018</v>
      </c>
      <c r="Z124" s="108">
        <f>+Y124*(1+Assumptions!$N$82)</f>
        <v>1.806111234669415</v>
      </c>
    </row>
    <row r="125" spans="2:26" x14ac:dyDescent="0.35">
      <c r="B125" s="33"/>
      <c r="C125" s="33"/>
      <c r="D125" s="40"/>
      <c r="E125" s="40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2:26" x14ac:dyDescent="0.35">
      <c r="B126" s="33" t="s">
        <v>246</v>
      </c>
      <c r="C126" s="33"/>
      <c r="D126" s="40"/>
      <c r="E126" s="40"/>
      <c r="F126" s="34">
        <f>+F121*Assumptions!$F$203*F123</f>
        <v>0</v>
      </c>
      <c r="G126" s="34">
        <f>+G121*Assumptions!$F$203*G123</f>
        <v>0</v>
      </c>
      <c r="H126" s="34">
        <f>+H121*Assumptions!$F$203*H123</f>
        <v>0</v>
      </c>
      <c r="I126" s="34">
        <f>+I121*Assumptions!$F$203*I123</f>
        <v>216197.01163636363</v>
      </c>
      <c r="J126" s="34">
        <f>+J121*Assumptions!$F$203*J123</f>
        <v>441041.90373818181</v>
      </c>
      <c r="K126" s="34">
        <f>+K121*Assumptions!$F$203*K123</f>
        <v>449862.74181294546</v>
      </c>
      <c r="L126" s="34">
        <f>+L121*Assumptions!$F$203*L123</f>
        <v>458859.9966492044</v>
      </c>
      <c r="M126" s="34">
        <f>+M121*Assumptions!$F$203*M123</f>
        <v>468037.19658218848</v>
      </c>
      <c r="N126" s="34">
        <f>+N121*Assumptions!$F$203*N123</f>
        <v>477397.94051383232</v>
      </c>
      <c r="O126" s="34">
        <f>+O121*Assumptions!$F$203*O123</f>
        <v>486945.89932410896</v>
      </c>
      <c r="P126" s="34">
        <f>+P121*Assumptions!$F$203*P123</f>
        <v>496684.81731059117</v>
      </c>
      <c r="Q126" s="34">
        <f>+Q121*Assumptions!$F$203*Q123</f>
        <v>506618.51365680294</v>
      </c>
      <c r="R126" s="34">
        <f>+R121*Assumptions!$F$203*R123</f>
        <v>516750.88392993901</v>
      </c>
      <c r="S126" s="34">
        <f>+S121*Assumptions!$F$203*S123</f>
        <v>527085.90160853777</v>
      </c>
      <c r="T126" s="34">
        <f>+T121*Assumptions!$F$203*T123</f>
        <v>537627.61964070855</v>
      </c>
      <c r="U126" s="34">
        <f>+U121*Assumptions!$F$203*U123</f>
        <v>548380.17203352274</v>
      </c>
      <c r="V126" s="34">
        <f>+V121*Assumptions!$F$203*V123</f>
        <v>559347.77547419327</v>
      </c>
      <c r="W126" s="34">
        <f>+W121*Assumptions!$F$203*W123</f>
        <v>570534.73098367709</v>
      </c>
      <c r="X126" s="34">
        <f>+X121*Assumptions!$F$203*X123</f>
        <v>581945.42560335074</v>
      </c>
      <c r="Y126" s="34">
        <f>+Y121*Assumptions!$F$203*Y123</f>
        <v>593584.33411541767</v>
      </c>
      <c r="Z126" s="34">
        <f>+Z121*Assumptions!$F$203*Z123</f>
        <v>605456.02079772612</v>
      </c>
    </row>
    <row r="127" spans="2:26" x14ac:dyDescent="0.35">
      <c r="B127" s="33" t="s">
        <v>247</v>
      </c>
      <c r="C127" s="33"/>
      <c r="D127" s="40"/>
      <c r="E127" s="40"/>
      <c r="F127" s="42">
        <f>-F126*Assumptions!$N$60</f>
        <v>0</v>
      </c>
      <c r="G127" s="42">
        <f>-G126*Assumptions!$N$60</f>
        <v>0</v>
      </c>
      <c r="H127" s="42">
        <f>-H126*Assumptions!$N$60</f>
        <v>0</v>
      </c>
      <c r="I127" s="42">
        <f>-I126*Assumptions!$N$60</f>
        <v>-21619.701163636364</v>
      </c>
      <c r="J127" s="42">
        <f>-J126*Assumptions!$N$60</f>
        <v>-44104.190373818186</v>
      </c>
      <c r="K127" s="42">
        <f>-K126*Assumptions!$N$60</f>
        <v>-44986.274181294546</v>
      </c>
      <c r="L127" s="42">
        <f>-L126*Assumptions!$N$60</f>
        <v>-45885.99966492044</v>
      </c>
      <c r="M127" s="42">
        <f>-M126*Assumptions!$N$60</f>
        <v>-46803.719658218848</v>
      </c>
      <c r="N127" s="42">
        <f>-N126*Assumptions!$N$60</f>
        <v>-47739.794051383236</v>
      </c>
      <c r="O127" s="42">
        <f>-O126*Assumptions!$N$60</f>
        <v>-48694.589932410898</v>
      </c>
      <c r="P127" s="42">
        <f>-P126*Assumptions!$N$60</f>
        <v>-49668.481731059117</v>
      </c>
      <c r="Q127" s="42">
        <f>-Q126*Assumptions!$N$60</f>
        <v>-50661.851365680297</v>
      </c>
      <c r="R127" s="42">
        <f>-R126*Assumptions!$N$60</f>
        <v>-51675.088392993901</v>
      </c>
      <c r="S127" s="42">
        <f>-S126*Assumptions!$N$60</f>
        <v>-52708.590160853782</v>
      </c>
      <c r="T127" s="42">
        <f>-T126*Assumptions!$N$60</f>
        <v>-53762.761964070858</v>
      </c>
      <c r="U127" s="42">
        <f>-U126*Assumptions!$N$60</f>
        <v>-54838.017203352276</v>
      </c>
      <c r="V127" s="42">
        <f>-V126*Assumptions!$N$60</f>
        <v>-55934.777547419333</v>
      </c>
      <c r="W127" s="42">
        <f>-W126*Assumptions!$N$60</f>
        <v>-57053.473098367715</v>
      </c>
      <c r="X127" s="42">
        <f>-X126*Assumptions!$N$60</f>
        <v>-58194.542560335074</v>
      </c>
      <c r="Y127" s="42">
        <f>-Y126*Assumptions!$N$60</f>
        <v>-59358.433411541773</v>
      </c>
      <c r="Z127" s="42">
        <f>-Z126*Assumptions!$N$60</f>
        <v>-60545.602079772616</v>
      </c>
    </row>
    <row r="128" spans="2:26" x14ac:dyDescent="0.35">
      <c r="B128" s="137" t="s">
        <v>256</v>
      </c>
      <c r="C128" s="137"/>
      <c r="D128" s="137"/>
      <c r="E128" s="137"/>
      <c r="F128" s="129">
        <f t="shared" ref="F128:Z128" si="290">+SUM(F126:F127)</f>
        <v>0</v>
      </c>
      <c r="G128" s="129">
        <f t="shared" si="290"/>
        <v>0</v>
      </c>
      <c r="H128" s="129">
        <f t="shared" si="290"/>
        <v>0</v>
      </c>
      <c r="I128" s="129">
        <f t="shared" si="290"/>
        <v>194577.31047272726</v>
      </c>
      <c r="J128" s="129">
        <f t="shared" si="290"/>
        <v>396937.71336436365</v>
      </c>
      <c r="K128" s="129">
        <f t="shared" si="290"/>
        <v>404876.46763165091</v>
      </c>
      <c r="L128" s="129">
        <f t="shared" si="290"/>
        <v>412973.99698428396</v>
      </c>
      <c r="M128" s="129">
        <f t="shared" si="290"/>
        <v>421233.47692396963</v>
      </c>
      <c r="N128" s="129">
        <f t="shared" si="290"/>
        <v>429658.14646244911</v>
      </c>
      <c r="O128" s="129">
        <f t="shared" si="290"/>
        <v>438251.30939169804</v>
      </c>
      <c r="P128" s="129">
        <f t="shared" si="290"/>
        <v>447016.33557953208</v>
      </c>
      <c r="Q128" s="129">
        <f t="shared" si="290"/>
        <v>455956.66229112266</v>
      </c>
      <c r="R128" s="129">
        <f t="shared" si="290"/>
        <v>465075.79553694511</v>
      </c>
      <c r="S128" s="129">
        <f t="shared" si="290"/>
        <v>474377.31144768395</v>
      </c>
      <c r="T128" s="129">
        <f t="shared" si="290"/>
        <v>483864.85767663771</v>
      </c>
      <c r="U128" s="129">
        <f t="shared" si="290"/>
        <v>493542.15483017045</v>
      </c>
      <c r="V128" s="129">
        <f t="shared" si="290"/>
        <v>503412.99792677397</v>
      </c>
      <c r="W128" s="129">
        <f t="shared" si="290"/>
        <v>513481.2578853094</v>
      </c>
      <c r="X128" s="129">
        <f t="shared" si="290"/>
        <v>523750.88304301567</v>
      </c>
      <c r="Y128" s="129">
        <f t="shared" si="290"/>
        <v>534225.90070387593</v>
      </c>
      <c r="Z128" s="129">
        <f t="shared" si="290"/>
        <v>544910.41871795349</v>
      </c>
    </row>
    <row r="130" spans="2:26" x14ac:dyDescent="0.35">
      <c r="B130" s="33" t="s">
        <v>395</v>
      </c>
      <c r="F130" s="34">
        <f>+F119*Assumptions!$N$97*'Phase I Pro Forma'!F124</f>
        <v>0</v>
      </c>
      <c r="G130" s="34">
        <f>+G119*Assumptions!$N$97*'Phase I Pro Forma'!G124</f>
        <v>0</v>
      </c>
      <c r="H130" s="34">
        <f>+H119*Assumptions!$N$97*'Phase I Pro Forma'!H124</f>
        <v>0</v>
      </c>
      <c r="I130" s="34">
        <f>+I119*Assumptions!$N$97*'Phase I Pro Forma'!I124</f>
        <v>68709.349242424243</v>
      </c>
      <c r="J130" s="34">
        <f>+J119*Assumptions!$N$97*'Phase I Pro Forma'!J124</f>
        <v>141541.25943939394</v>
      </c>
      <c r="K130" s="34">
        <f>+K119*Assumptions!$N$97*'Phase I Pro Forma'!K124</f>
        <v>145787.49722257574</v>
      </c>
      <c r="L130" s="34">
        <f>+L119*Assumptions!$N$97*'Phase I Pro Forma'!L124</f>
        <v>150161.12213925304</v>
      </c>
      <c r="M130" s="34">
        <f>+M119*Assumptions!$N$97*'Phase I Pro Forma'!M124</f>
        <v>154665.95580343064</v>
      </c>
      <c r="N130" s="34">
        <f>+N119*Assumptions!$N$97*'Phase I Pro Forma'!N124</f>
        <v>159305.93447753356</v>
      </c>
      <c r="O130" s="34">
        <f>+O119*Assumptions!$N$97*'Phase I Pro Forma'!O124</f>
        <v>164085.11251185957</v>
      </c>
      <c r="P130" s="34">
        <f>+P119*Assumptions!$N$97*'Phase I Pro Forma'!P124</f>
        <v>169007.66588721535</v>
      </c>
      <c r="Q130" s="34">
        <f>+Q119*Assumptions!$N$97*'Phase I Pro Forma'!Q124</f>
        <v>174077.89586383183</v>
      </c>
      <c r="R130" s="34">
        <f>+R119*Assumptions!$N$97*'Phase I Pro Forma'!R124</f>
        <v>179300.23273974677</v>
      </c>
      <c r="S130" s="34">
        <f>+S119*Assumptions!$N$97*'Phase I Pro Forma'!S124</f>
        <v>184679.2397219392</v>
      </c>
      <c r="T130" s="34">
        <f>+T119*Assumptions!$N$97*'Phase I Pro Forma'!T124</f>
        <v>190219.61691359739</v>
      </c>
      <c r="U130" s="34">
        <f>+U119*Assumptions!$N$97*'Phase I Pro Forma'!U124</f>
        <v>195926.20542100532</v>
      </c>
      <c r="V130" s="34">
        <f>+V119*Assumptions!$N$97*'Phase I Pro Forma'!V124</f>
        <v>201803.99158363548</v>
      </c>
      <c r="W130" s="34">
        <f>+W119*Assumptions!$N$97*'Phase I Pro Forma'!W124</f>
        <v>207858.11133114455</v>
      </c>
      <c r="X130" s="34">
        <f>+X119*Assumptions!$N$97*'Phase I Pro Forma'!X124</f>
        <v>214093.85467107888</v>
      </c>
      <c r="Y130" s="34">
        <f>+Y119*Assumptions!$N$97*'Phase I Pro Forma'!Y124</f>
        <v>220516.67031121126</v>
      </c>
      <c r="Z130" s="34">
        <f>+Z119*Assumptions!$N$97*'Phase I Pro Forma'!Z124</f>
        <v>227132.17042054763</v>
      </c>
    </row>
    <row r="131" spans="2:26" x14ac:dyDescent="0.35">
      <c r="B131" s="33" t="s">
        <v>331</v>
      </c>
      <c r="F131" s="151">
        <f ca="1">+IFERROR(INDEX('Taxes and TIF'!$M$11:$M$45,MATCH('Phase I Pro Forma'!F$7,'Taxes and TIF'!$B$11:$B$45,0)),0)*'Loan Sizing'!$I$20*F121</f>
        <v>0</v>
      </c>
      <c r="G131" s="151">
        <f ca="1">+IFERROR(INDEX('Taxes and TIF'!$M$11:$M$45,MATCH('Phase I Pro Forma'!G$7,'Taxes and TIF'!$B$11:$B$45,0)),0)*'Loan Sizing'!$I$20*G121</f>
        <v>0</v>
      </c>
      <c r="H131" s="151">
        <f ca="1">+IFERROR(INDEX('Taxes and TIF'!$M$11:$M$45,MATCH('Phase I Pro Forma'!H$7,'Taxes and TIF'!$B$11:$B$45,0)),0)*'Loan Sizing'!$I$20*H121</f>
        <v>0</v>
      </c>
      <c r="I131" s="151">
        <f ca="1">+IFERROR(INDEX('Taxes and TIF'!$M$11:$M$45,MATCH('Phase I Pro Forma'!I$7,'Taxes and TIF'!$B$11:$B$45,0)),0)*'Loan Sizing'!$I$20*I121</f>
        <v>33803.531404246241</v>
      </c>
      <c r="J131" s="151">
        <f ca="1">+IFERROR(INDEX('Taxes and TIF'!$M$11:$M$45,MATCH('Phase I Pro Forma'!J$7,'Taxes and TIF'!$B$11:$B$45,0)),0)*'Loan Sizing'!$I$20*J121</f>
        <v>68959.204064662335</v>
      </c>
      <c r="K131" s="151">
        <f ca="1">+IFERROR(INDEX('Taxes and TIF'!$M$11:$M$45,MATCH('Phase I Pro Forma'!K$7,'Taxes and TIF'!$B$11:$B$45,0)),0)*'Loan Sizing'!$I$20*K121</f>
        <v>68959.204064662335</v>
      </c>
      <c r="L131" s="151">
        <f ca="1">+IFERROR(INDEX('Taxes and TIF'!$M$11:$M$45,MATCH('Phase I Pro Forma'!L$7,'Taxes and TIF'!$B$11:$B$45,0)),0)*'Loan Sizing'!$I$20*L121</f>
        <v>68959.204064662335</v>
      </c>
      <c r="M131" s="151">
        <f ca="1">+IFERROR(INDEX('Taxes and TIF'!$M$11:$M$45,MATCH('Phase I Pro Forma'!M$7,'Taxes and TIF'!$B$11:$B$45,0)),0)*'Loan Sizing'!$I$20*M121</f>
        <v>70338.388145955585</v>
      </c>
      <c r="N131" s="151">
        <f ca="1">+IFERROR(INDEX('Taxes and TIF'!$M$11:$M$45,MATCH('Phase I Pro Forma'!N$7,'Taxes and TIF'!$B$11:$B$45,0)),0)*'Loan Sizing'!$I$20*N121</f>
        <v>70338.388145955585</v>
      </c>
      <c r="O131" s="151">
        <f ca="1">+IFERROR(INDEX('Taxes and TIF'!$M$11:$M$45,MATCH('Phase I Pro Forma'!O$7,'Taxes and TIF'!$B$11:$B$45,0)),0)*'Loan Sizing'!$I$20*O121</f>
        <v>70338.388145955585</v>
      </c>
      <c r="P131" s="151">
        <f ca="1">+IFERROR(INDEX('Taxes and TIF'!$M$11:$M$45,MATCH('Phase I Pro Forma'!P$7,'Taxes and TIF'!$B$11:$B$45,0)),0)*'Loan Sizing'!$I$20*P121</f>
        <v>71745.155908874702</v>
      </c>
      <c r="Q131" s="151">
        <f ca="1">+IFERROR(INDEX('Taxes and TIF'!$M$11:$M$45,MATCH('Phase I Pro Forma'!Q$7,'Taxes and TIF'!$B$11:$B$45,0)),0)*'Loan Sizing'!$I$20*Q121</f>
        <v>71745.155908874702</v>
      </c>
      <c r="R131" s="151">
        <f ca="1">+IFERROR(INDEX('Taxes and TIF'!$M$11:$M$45,MATCH('Phase I Pro Forma'!R$7,'Taxes and TIF'!$B$11:$B$45,0)),0)*'Loan Sizing'!$I$20*R121</f>
        <v>71745.155908874702</v>
      </c>
      <c r="S131" s="151">
        <f ca="1">+IFERROR(INDEX('Taxes and TIF'!$M$11:$M$45,MATCH('Phase I Pro Forma'!S$7,'Taxes and TIF'!$B$11:$B$45,0)),0)*'Loan Sizing'!$I$20*S121</f>
        <v>73180.059027052193</v>
      </c>
      <c r="T131" s="151">
        <f ca="1">+IFERROR(INDEX('Taxes and TIF'!$M$11:$M$45,MATCH('Phase I Pro Forma'!T$7,'Taxes and TIF'!$B$11:$B$45,0)),0)*'Loan Sizing'!$I$20*T121</f>
        <v>73180.059027052193</v>
      </c>
      <c r="U131" s="151">
        <f ca="1">+IFERROR(INDEX('Taxes and TIF'!$M$11:$M$45,MATCH('Phase I Pro Forma'!U$7,'Taxes and TIF'!$B$11:$B$45,0)),0)*'Loan Sizing'!$I$20*U121</f>
        <v>73180.059027052193</v>
      </c>
      <c r="V131" s="151">
        <f ca="1">+IFERROR(INDEX('Taxes and TIF'!$M$11:$M$45,MATCH('Phase I Pro Forma'!V$7,'Taxes and TIF'!$B$11:$B$45,0)),0)*'Loan Sizing'!$I$20*V121</f>
        <v>74643.660207593246</v>
      </c>
      <c r="W131" s="151">
        <f ca="1">+IFERROR(INDEX('Taxes and TIF'!$M$11:$M$45,MATCH('Phase I Pro Forma'!W$7,'Taxes and TIF'!$B$11:$B$45,0)),0)*'Loan Sizing'!$I$20*W121</f>
        <v>74643.660207593246</v>
      </c>
      <c r="X131" s="151">
        <f ca="1">+IFERROR(INDEX('Taxes and TIF'!$M$11:$M$45,MATCH('Phase I Pro Forma'!X$7,'Taxes and TIF'!$B$11:$B$45,0)),0)*'Loan Sizing'!$I$20*X121</f>
        <v>74643.660207593246</v>
      </c>
      <c r="Y131" s="151">
        <f ca="1">+IFERROR(INDEX('Taxes and TIF'!$M$11:$M$45,MATCH('Phase I Pro Forma'!Y$7,'Taxes and TIF'!$B$11:$B$45,0)),0)*'Loan Sizing'!$I$20*Y121</f>
        <v>76136.533411745084</v>
      </c>
      <c r="Z131" s="151">
        <f ca="1">+IFERROR(INDEX('Taxes and TIF'!$M$11:$M$45,MATCH('Phase I Pro Forma'!Z$7,'Taxes and TIF'!$B$11:$B$45,0)),0)*'Loan Sizing'!$I$20*Z121</f>
        <v>76136.533411745084</v>
      </c>
    </row>
    <row r="132" spans="2:26" x14ac:dyDescent="0.35">
      <c r="B132" s="137" t="s">
        <v>252</v>
      </c>
      <c r="C132" s="137"/>
      <c r="D132" s="137"/>
      <c r="E132" s="137"/>
      <c r="F132" s="129">
        <f ca="1">+SUM(F130:F131)</f>
        <v>0</v>
      </c>
      <c r="G132" s="129">
        <f t="shared" ref="G132" ca="1" si="291">+SUM(G130:G131)</f>
        <v>0</v>
      </c>
      <c r="H132" s="129">
        <f t="shared" ref="H132" ca="1" si="292">+SUM(H130:H131)</f>
        <v>0</v>
      </c>
      <c r="I132" s="129">
        <f t="shared" ref="I132" ca="1" si="293">+SUM(I130:I131)</f>
        <v>102512.88064667048</v>
      </c>
      <c r="J132" s="129">
        <f t="shared" ref="J132" ca="1" si="294">+SUM(J130:J131)</f>
        <v>210500.46350405627</v>
      </c>
      <c r="K132" s="129">
        <f t="shared" ref="K132" ca="1" si="295">+SUM(K130:K131)</f>
        <v>214746.70128723807</v>
      </c>
      <c r="L132" s="129">
        <f t="shared" ref="L132" ca="1" si="296">+SUM(L130:L131)</f>
        <v>219120.32620391538</v>
      </c>
      <c r="M132" s="129">
        <f t="shared" ref="M132" ca="1" si="297">+SUM(M130:M131)</f>
        <v>225004.34394938621</v>
      </c>
      <c r="N132" s="129">
        <f t="shared" ref="N132" ca="1" si="298">+SUM(N130:N131)</f>
        <v>229644.32262348913</v>
      </c>
      <c r="O132" s="129">
        <f t="shared" ref="O132" ca="1" si="299">+SUM(O130:O131)</f>
        <v>234423.50065781514</v>
      </c>
      <c r="P132" s="129">
        <f t="shared" ref="P132" ca="1" si="300">+SUM(P130:P131)</f>
        <v>240752.82179609005</v>
      </c>
      <c r="Q132" s="129">
        <f t="shared" ref="Q132" ca="1" si="301">+SUM(Q130:Q131)</f>
        <v>245823.05177270653</v>
      </c>
      <c r="R132" s="129">
        <f t="shared" ref="R132" ca="1" si="302">+SUM(R130:R131)</f>
        <v>251045.38864862148</v>
      </c>
      <c r="S132" s="129">
        <f t="shared" ref="S132" ca="1" si="303">+SUM(S130:S131)</f>
        <v>257859.29874899139</v>
      </c>
      <c r="T132" s="129">
        <f t="shared" ref="T132" ca="1" si="304">+SUM(T130:T131)</f>
        <v>263399.67594064958</v>
      </c>
      <c r="U132" s="129">
        <f t="shared" ref="U132" ca="1" si="305">+SUM(U130:U131)</f>
        <v>269106.26444805751</v>
      </c>
      <c r="V132" s="129">
        <f t="shared" ref="V132" ca="1" si="306">+SUM(V130:V131)</f>
        <v>276447.65179122874</v>
      </c>
      <c r="W132" s="129">
        <f t="shared" ref="W132" ca="1" si="307">+SUM(W130:W131)</f>
        <v>282501.77153873781</v>
      </c>
      <c r="X132" s="129">
        <f t="shared" ref="X132" ca="1" si="308">+SUM(X130:X131)</f>
        <v>288737.51487867214</v>
      </c>
      <c r="Y132" s="129">
        <f t="shared" ref="Y132" ca="1" si="309">+SUM(Y130:Y131)</f>
        <v>296653.20372295636</v>
      </c>
      <c r="Z132" s="129">
        <f t="shared" ref="Z132" ca="1" si="310">+SUM(Z130:Z131)</f>
        <v>303268.7038322927</v>
      </c>
    </row>
    <row r="133" spans="2:26" x14ac:dyDescent="0.35">
      <c r="B133" s="33"/>
    </row>
    <row r="134" spans="2:26" x14ac:dyDescent="0.35">
      <c r="B134" s="138" t="s">
        <v>251</v>
      </c>
      <c r="C134" s="138"/>
      <c r="D134" s="138"/>
      <c r="E134" s="138"/>
      <c r="F134" s="139">
        <f ca="1">+F128-F132</f>
        <v>0</v>
      </c>
      <c r="G134" s="139">
        <f t="shared" ref="G134:Z134" ca="1" si="311">+G128-G132</f>
        <v>0</v>
      </c>
      <c r="H134" s="139">
        <f t="shared" ca="1" si="311"/>
        <v>0</v>
      </c>
      <c r="I134" s="139">
        <f t="shared" ca="1" si="311"/>
        <v>92064.429826056774</v>
      </c>
      <c r="J134" s="139">
        <f t="shared" ca="1" si="311"/>
        <v>186437.24986030738</v>
      </c>
      <c r="K134" s="139">
        <f t="shared" ca="1" si="311"/>
        <v>190129.76634441284</v>
      </c>
      <c r="L134" s="139">
        <f t="shared" ca="1" si="311"/>
        <v>193853.67078036859</v>
      </c>
      <c r="M134" s="139">
        <f t="shared" ca="1" si="311"/>
        <v>196229.13297458342</v>
      </c>
      <c r="N134" s="139">
        <f t="shared" ca="1" si="311"/>
        <v>200013.82383895997</v>
      </c>
      <c r="O134" s="139">
        <f t="shared" ca="1" si="311"/>
        <v>203827.80873388291</v>
      </c>
      <c r="P134" s="139">
        <f t="shared" ca="1" si="311"/>
        <v>206263.51378344203</v>
      </c>
      <c r="Q134" s="139">
        <f t="shared" ca="1" si="311"/>
        <v>210133.61051841613</v>
      </c>
      <c r="R134" s="139">
        <f t="shared" ca="1" si="311"/>
        <v>214030.40688832363</v>
      </c>
      <c r="S134" s="139">
        <f t="shared" ca="1" si="311"/>
        <v>216518.01269869256</v>
      </c>
      <c r="T134" s="139">
        <f t="shared" ca="1" si="311"/>
        <v>220465.18173598812</v>
      </c>
      <c r="U134" s="139">
        <f t="shared" ca="1" si="311"/>
        <v>224435.89038211294</v>
      </c>
      <c r="V134" s="139">
        <f t="shared" ca="1" si="311"/>
        <v>226965.34613554523</v>
      </c>
      <c r="W134" s="139">
        <f t="shared" ca="1" si="311"/>
        <v>230979.48634657159</v>
      </c>
      <c r="X134" s="139">
        <f t="shared" ca="1" si="311"/>
        <v>235013.36816434353</v>
      </c>
      <c r="Y134" s="139">
        <f t="shared" ca="1" si="311"/>
        <v>237572.69698091957</v>
      </c>
      <c r="Z134" s="139">
        <f t="shared" ca="1" si="311"/>
        <v>241641.7148856608</v>
      </c>
    </row>
    <row r="135" spans="2:26" x14ac:dyDescent="0.35">
      <c r="B135" s="143" t="s">
        <v>257</v>
      </c>
      <c r="C135" s="141"/>
      <c r="D135" s="141"/>
      <c r="E135" s="141"/>
      <c r="F135" s="144" t="str">
        <f ca="1">+IFERROR(F134/F128,"")</f>
        <v/>
      </c>
      <c r="G135" s="144" t="str">
        <f t="shared" ref="G135" ca="1" si="312">+IFERROR(G134/G128,"")</f>
        <v/>
      </c>
      <c r="H135" s="144" t="str">
        <f t="shared" ref="H135" ca="1" si="313">+IFERROR(H134/H128,"")</f>
        <v/>
      </c>
      <c r="I135" s="145">
        <f t="shared" ref="I135" ca="1" si="314">+IFERROR(I134/I128,"")</f>
        <v>0.47315090131724735</v>
      </c>
      <c r="J135" s="145">
        <f t="shared" ref="J135" ca="1" si="315">+IFERROR(J134/J128,"")</f>
        <v>0.46968892998375744</v>
      </c>
      <c r="K135" s="145">
        <f t="shared" ref="K135" ca="1" si="316">+IFERROR(K134/K128,"")</f>
        <v>0.46959944957183675</v>
      </c>
      <c r="L135" s="145">
        <f t="shared" ref="L135" ca="1" si="317">+IFERROR(L134/L128,"")</f>
        <v>0.46940890272988745</v>
      </c>
      <c r="M135" s="145">
        <f t="shared" ref="M135" ca="1" si="318">+IFERROR(M134/M128,"")</f>
        <v>0.46584410718619529</v>
      </c>
      <c r="N135" s="145">
        <f t="shared" ref="N135" ca="1" si="319">+IFERROR(N134/N128,"")</f>
        <v>0.46551851858449661</v>
      </c>
      <c r="O135" s="145">
        <f t="shared" ref="O135" ca="1" si="320">+IFERROR(O134/O128,"")</f>
        <v>0.46509343923421509</v>
      </c>
      <c r="P135" s="145">
        <f t="shared" ref="P135" ca="1" si="321">+IFERROR(P134/P128,"")</f>
        <v>0.46142276549252442</v>
      </c>
      <c r="Q135" s="145">
        <f t="shared" ref="Q135" ca="1" si="322">+IFERROR(Q134/Q128,"")</f>
        <v>0.46086312120656858</v>
      </c>
      <c r="R135" s="145">
        <f t="shared" ref="R135" ca="1" si="323">+IFERROR(R134/R128,"")</f>
        <v>0.46020543090447996</v>
      </c>
      <c r="S135" s="145">
        <f t="shared" ref="S135" ca="1" si="324">+IFERROR(S134/S128,"")</f>
        <v>0.45642573427032662</v>
      </c>
      <c r="T135" s="145">
        <f t="shared" ref="T135" ca="1" si="325">+IFERROR(T134/T128,"")</f>
        <v>0.45563379575567958</v>
      </c>
      <c r="U135" s="145">
        <f t="shared" ref="U135" ca="1" si="326">+IFERROR(U134/U128,"")</f>
        <v>0.45474512802121653</v>
      </c>
      <c r="V135" s="145">
        <f t="shared" ref="V135" ca="1" si="327">+IFERROR(V134/V128,"")</f>
        <v>0.45085317039938533</v>
      </c>
      <c r="W135" s="145">
        <f t="shared" ref="W135" ca="1" si="328">+IFERROR(W134/W128,"")</f>
        <v>0.44983041308620247</v>
      </c>
      <c r="X135" s="145">
        <f t="shared" ref="X135" ca="1" si="329">+IFERROR(X134/X128,"")</f>
        <v>0.4487121182477164</v>
      </c>
      <c r="Y135" s="145">
        <f t="shared" ref="Y135" ca="1" si="330">+IFERROR(Y134/Y128,"")</f>
        <v>0.44470456536813868</v>
      </c>
      <c r="Z135" s="145">
        <f t="shared" ref="Z135" ca="1" si="331">+IFERROR(Z134/Z128,"")</f>
        <v>0.44345218330416059</v>
      </c>
    </row>
    <row r="136" spans="2:26" x14ac:dyDescent="0.35">
      <c r="B136" s="143" t="s">
        <v>191</v>
      </c>
      <c r="C136" s="141"/>
      <c r="D136" s="141"/>
      <c r="E136" s="141"/>
      <c r="F136" s="142">
        <f ca="1">+F134/Assumptions!$N$135</f>
        <v>0</v>
      </c>
      <c r="G136" s="142">
        <f ca="1">+G134/Assumptions!$N$135</f>
        <v>0</v>
      </c>
      <c r="H136" s="142">
        <f ca="1">+H134/Assumptions!$N$135</f>
        <v>0</v>
      </c>
      <c r="I136" s="142">
        <f ca="1">+I134/Assumptions!$N$135</f>
        <v>1416375.8434777965</v>
      </c>
      <c r="J136" s="142">
        <f ca="1">+J134/Assumptions!$N$135</f>
        <v>2868265.3824662673</v>
      </c>
      <c r="K136" s="142">
        <f ca="1">+K134/Assumptions!$N$135</f>
        <v>2925073.3283755821</v>
      </c>
      <c r="L136" s="142">
        <f ca="1">+L134/Assumptions!$N$135</f>
        <v>2982364.1658518245</v>
      </c>
      <c r="M136" s="142">
        <f ca="1">+M134/Assumptions!$N$135</f>
        <v>3018909.7380705141</v>
      </c>
      <c r="N136" s="142">
        <f ca="1">+N134/Assumptions!$N$135</f>
        <v>3077135.7513686148</v>
      </c>
      <c r="O136" s="142">
        <f ca="1">+O134/Assumptions!$N$135</f>
        <v>3135812.4420597367</v>
      </c>
      <c r="P136" s="142">
        <f ca="1">+P134/Assumptions!$N$135</f>
        <v>3173284.8274375694</v>
      </c>
      <c r="Q136" s="142">
        <f ca="1">+Q134/Assumptions!$N$135</f>
        <v>3232824.7772064018</v>
      </c>
      <c r="R136" s="142">
        <f ca="1">+R134/Assumptions!$N$135</f>
        <v>3292775.490589594</v>
      </c>
      <c r="S136" s="142">
        <f ca="1">+S134/Assumptions!$N$135</f>
        <v>3331046.3492106549</v>
      </c>
      <c r="T136" s="142">
        <f ca="1">+T134/Assumptions!$N$135</f>
        <v>3391772.0267075095</v>
      </c>
      <c r="U136" s="142">
        <f ca="1">+U134/Assumptions!$N$135</f>
        <v>3452859.8520325064</v>
      </c>
      <c r="V136" s="142">
        <f ca="1">+V134/Assumptions!$N$135</f>
        <v>3491774.5559314648</v>
      </c>
      <c r="W136" s="142">
        <f ca="1">+W134/Assumptions!$N$135</f>
        <v>3553530.5591780245</v>
      </c>
      <c r="X136" s="142">
        <f ca="1">+X134/Assumptions!$N$135</f>
        <v>3615590.2794514387</v>
      </c>
      <c r="Y136" s="142">
        <f ca="1">+Y134/Assumptions!$N$135</f>
        <v>3654964.5689372239</v>
      </c>
      <c r="Z136" s="142">
        <f ca="1">+Z134/Assumptions!$N$135</f>
        <v>3717564.8443947812</v>
      </c>
    </row>
    <row r="138" spans="2:26" x14ac:dyDescent="0.35">
      <c r="B138" s="138" t="s">
        <v>780</v>
      </c>
      <c r="C138" s="138"/>
      <c r="D138" s="138"/>
      <c r="E138" s="138"/>
      <c r="F138" s="139">
        <f t="shared" ref="F138:Z138" ca="1" si="332">+F134+F112+F91+F70+F49+F26</f>
        <v>0</v>
      </c>
      <c r="G138" s="139">
        <f t="shared" ca="1" si="332"/>
        <v>0</v>
      </c>
      <c r="H138" s="139">
        <f t="shared" ca="1" si="332"/>
        <v>0</v>
      </c>
      <c r="I138" s="139">
        <f t="shared" ca="1" si="332"/>
        <v>9978980.3531097397</v>
      </c>
      <c r="J138" s="139">
        <f t="shared" ca="1" si="332"/>
        <v>20150048.491622239</v>
      </c>
      <c r="K138" s="139">
        <f t="shared" ca="1" si="332"/>
        <v>20415119.392887935</v>
      </c>
      <c r="L138" s="139">
        <f t="shared" ca="1" si="332"/>
        <v>22046666.44948281</v>
      </c>
      <c r="M138" s="139">
        <f t="shared" ca="1" si="332"/>
        <v>22260230.976380009</v>
      </c>
      <c r="N138" s="139">
        <f t="shared" ca="1" si="332"/>
        <v>22548752.86966075</v>
      </c>
      <c r="O138" s="139">
        <f t="shared" ca="1" si="332"/>
        <v>22845550.555339307</v>
      </c>
      <c r="P138" s="139">
        <f t="shared" ca="1" si="332"/>
        <v>23082611.017095</v>
      </c>
      <c r="Q138" s="139">
        <f t="shared" ca="1" si="332"/>
        <v>24891005.347919736</v>
      </c>
      <c r="R138" s="139">
        <f t="shared" ca="1" si="332"/>
        <v>25214102.952101879</v>
      </c>
      <c r="S138" s="139">
        <f t="shared" ca="1" si="332"/>
        <v>25476863.54030513</v>
      </c>
      <c r="T138" s="139">
        <f t="shared" ca="1" si="332"/>
        <v>25818794.874822486</v>
      </c>
      <c r="U138" s="139">
        <f t="shared" ca="1" si="332"/>
        <v>26170556.360362995</v>
      </c>
      <c r="V138" s="139">
        <f t="shared" ca="1" si="332"/>
        <v>28104693.832800679</v>
      </c>
      <c r="W138" s="139">
        <f t="shared" ca="1" si="332"/>
        <v>28476983.085985728</v>
      </c>
      <c r="X138" s="139">
        <f t="shared" ca="1" si="332"/>
        <v>28859987.0436441</v>
      </c>
      <c r="Y138" s="139">
        <f t="shared" ca="1" si="332"/>
        <v>29181586.70261373</v>
      </c>
      <c r="Z138" s="139">
        <f t="shared" ca="1" si="332"/>
        <v>29586966.343494888</v>
      </c>
    </row>
    <row r="140" spans="2:26" x14ac:dyDescent="0.35">
      <c r="B140" s="148" t="s">
        <v>31</v>
      </c>
      <c r="F140" s="150">
        <f>+Assumptions!$F$22</f>
        <v>44196</v>
      </c>
      <c r="G140" s="150">
        <f>+EOMONTH(F140,12)</f>
        <v>44561</v>
      </c>
      <c r="H140" s="150">
        <f t="shared" ref="H140:Z140" si="333">+EOMONTH(G140,12)</f>
        <v>44926</v>
      </c>
      <c r="I140" s="150">
        <f t="shared" si="333"/>
        <v>45291</v>
      </c>
      <c r="J140" s="150">
        <f t="shared" si="333"/>
        <v>45657</v>
      </c>
      <c r="K140" s="150">
        <f t="shared" si="333"/>
        <v>46022</v>
      </c>
      <c r="L140" s="150">
        <f t="shared" si="333"/>
        <v>46387</v>
      </c>
      <c r="M140" s="150">
        <f t="shared" si="333"/>
        <v>46752</v>
      </c>
      <c r="N140" s="150">
        <f t="shared" si="333"/>
        <v>47118</v>
      </c>
      <c r="O140" s="150">
        <f t="shared" si="333"/>
        <v>47483</v>
      </c>
      <c r="P140" s="150">
        <f t="shared" si="333"/>
        <v>47848</v>
      </c>
      <c r="Q140" s="150">
        <f t="shared" si="333"/>
        <v>48213</v>
      </c>
      <c r="R140" s="150">
        <f t="shared" si="333"/>
        <v>48579</v>
      </c>
      <c r="S140" s="150">
        <f t="shared" si="333"/>
        <v>48944</v>
      </c>
      <c r="T140" s="150">
        <f t="shared" si="333"/>
        <v>49309</v>
      </c>
      <c r="U140" s="150">
        <f t="shared" si="333"/>
        <v>49674</v>
      </c>
      <c r="V140" s="150">
        <f t="shared" si="333"/>
        <v>50040</v>
      </c>
      <c r="W140" s="150">
        <f t="shared" si="333"/>
        <v>50405</v>
      </c>
      <c r="X140" s="150">
        <f t="shared" si="333"/>
        <v>50770</v>
      </c>
      <c r="Y140" s="150">
        <f t="shared" si="333"/>
        <v>51135</v>
      </c>
      <c r="Z140" s="150">
        <f t="shared" si="333"/>
        <v>51501</v>
      </c>
    </row>
    <row r="141" spans="2:26" x14ac:dyDescent="0.35">
      <c r="B141" s="33" t="s">
        <v>337</v>
      </c>
      <c r="F141" s="34">
        <v>0</v>
      </c>
      <c r="G141" s="34">
        <f t="shared" ref="G141:N141" ca="1" si="334">+F144</f>
        <v>0</v>
      </c>
      <c r="H141" s="34">
        <f t="shared" ca="1" si="334"/>
        <v>0</v>
      </c>
      <c r="I141" s="34">
        <f t="shared" ca="1" si="334"/>
        <v>0</v>
      </c>
      <c r="J141" s="34">
        <f t="shared" ca="1" si="334"/>
        <v>210806356.91512394</v>
      </c>
      <c r="K141" s="34">
        <f t="shared" ca="1" si="334"/>
        <v>208176674.60029665</v>
      </c>
      <c r="L141" s="34">
        <f t="shared" ca="1" si="334"/>
        <v>205376062.93500558</v>
      </c>
      <c r="M141" s="34">
        <f t="shared" ca="1" si="334"/>
        <v>202393411.51147059</v>
      </c>
      <c r="N141" s="34">
        <f t="shared" ca="1" si="334"/>
        <v>199216887.74540582</v>
      </c>
      <c r="O141" s="34">
        <f t="shared" ref="O141:Z141" ca="1" si="335">+N144</f>
        <v>195833889.93454686</v>
      </c>
      <c r="P141" s="34">
        <f t="shared" ca="1" si="335"/>
        <v>192230997.26598206</v>
      </c>
      <c r="Q141" s="34">
        <f t="shared" ca="1" si="335"/>
        <v>188393916.57396057</v>
      </c>
      <c r="R141" s="34">
        <f t="shared" ca="1" si="335"/>
        <v>184307425.63695768</v>
      </c>
      <c r="S141" s="34">
        <f t="shared" ca="1" si="335"/>
        <v>179955312.7890496</v>
      </c>
      <c r="T141" s="34">
        <f t="shared" ca="1" si="335"/>
        <v>175320312.60602748</v>
      </c>
      <c r="U141" s="34">
        <f t="shared" ca="1" si="335"/>
        <v>170384037.41110894</v>
      </c>
      <c r="V141" s="34">
        <f t="shared" ca="1" si="335"/>
        <v>165126904.32852069</v>
      </c>
      <c r="W141" s="34">
        <f t="shared" ca="1" si="335"/>
        <v>159528057.59556419</v>
      </c>
      <c r="X141" s="34">
        <f t="shared" ca="1" si="335"/>
        <v>153565285.82496551</v>
      </c>
      <c r="Y141" s="34">
        <f t="shared" ca="1" si="335"/>
        <v>147214933.88927794</v>
      </c>
      <c r="Z141" s="34">
        <f t="shared" ca="1" si="335"/>
        <v>140451809.07777065</v>
      </c>
    </row>
    <row r="142" spans="2:26" x14ac:dyDescent="0.35">
      <c r="B142" s="33" t="s">
        <v>348</v>
      </c>
      <c r="F142" s="151">
        <f>+IF(YEAR(F$140)=YEAR(Assumptions!$F$26),'S&amp;U'!$R$17,0)</f>
        <v>0</v>
      </c>
      <c r="G142" s="151">
        <f>+IF(YEAR(G$140)=YEAR(Assumptions!$F$26),'S&amp;U'!$R$17,0)</f>
        <v>0</v>
      </c>
      <c r="H142" s="151">
        <f>+IF(YEAR(H$140)=YEAR(Assumptions!$F$26),'S&amp;U'!$R$17,0)</f>
        <v>0</v>
      </c>
      <c r="I142" s="151">
        <f ca="1">+IF(YEAR(I$140)=YEAR(Assumptions!$F$26),'S&amp;U'!$R$17,0)</f>
        <v>213275542.18726224</v>
      </c>
      <c r="J142" s="151">
        <f>+IF(YEAR(J$140)=YEAR(Assumptions!$F$26),'S&amp;U'!$R$17,0)</f>
        <v>0</v>
      </c>
      <c r="K142" s="151">
        <f>+IF(YEAR(K$140)=YEAR(Assumptions!$F$26),'S&amp;U'!$R$17,0)</f>
        <v>0</v>
      </c>
      <c r="L142" s="151">
        <f>+IF(YEAR(L$140)=YEAR(Assumptions!$F$26),'S&amp;U'!$R$17,0)</f>
        <v>0</v>
      </c>
      <c r="M142" s="151">
        <f>+IF(YEAR(M$140)=YEAR(Assumptions!$F$26),'S&amp;U'!$R$17,0)</f>
        <v>0</v>
      </c>
      <c r="N142" s="151">
        <f>+IF(YEAR(N$140)=YEAR(Assumptions!$F$26),'S&amp;U'!$R$17,0)</f>
        <v>0</v>
      </c>
      <c r="O142" s="151">
        <f>+IF(YEAR(O$140)=YEAR(Assumptions!$F$26),'S&amp;U'!$R$17,0)</f>
        <v>0</v>
      </c>
      <c r="P142" s="151">
        <f>+IF(YEAR(P$140)=YEAR(Assumptions!$F$26),'S&amp;U'!$R$17,0)</f>
        <v>0</v>
      </c>
      <c r="Q142" s="151">
        <f>+IF(YEAR(Q$140)=YEAR(Assumptions!$F$26),'S&amp;U'!$R$17,0)</f>
        <v>0</v>
      </c>
      <c r="R142" s="151">
        <f>+IF(YEAR(R$140)=YEAR(Assumptions!$F$26),'S&amp;U'!$R$17,0)</f>
        <v>0</v>
      </c>
      <c r="S142" s="151">
        <f>+IF(YEAR(S$140)=YEAR(Assumptions!$F$26),'S&amp;U'!$R$17,0)</f>
        <v>0</v>
      </c>
      <c r="T142" s="151">
        <f>+IF(YEAR(T$140)=YEAR(Assumptions!$F$26),'S&amp;U'!$R$17,0)</f>
        <v>0</v>
      </c>
      <c r="U142" s="151">
        <f>+IF(YEAR(U$140)=YEAR(Assumptions!$F$26),'S&amp;U'!$R$17,0)</f>
        <v>0</v>
      </c>
      <c r="V142" s="151">
        <f>+IF(YEAR(V$140)=YEAR(Assumptions!$F$26),'S&amp;U'!$R$17,0)</f>
        <v>0</v>
      </c>
      <c r="W142" s="151">
        <f>+IF(YEAR(W$140)=YEAR(Assumptions!$F$26),'S&amp;U'!$R$17,0)</f>
        <v>0</v>
      </c>
      <c r="X142" s="151">
        <f>+IF(YEAR(X$140)=YEAR(Assumptions!$F$26),'S&amp;U'!$R$17,0)</f>
        <v>0</v>
      </c>
      <c r="Y142" s="151">
        <f>+IF(YEAR(Y$140)=YEAR(Assumptions!$F$26),'S&amp;U'!$R$17,0)</f>
        <v>0</v>
      </c>
      <c r="Z142" s="151">
        <f>+IF(YEAR(Z$140)=YEAR(Assumptions!$F$26),'S&amp;U'!$R$17,0)</f>
        <v>0</v>
      </c>
    </row>
    <row r="143" spans="2:26" x14ac:dyDescent="0.35">
      <c r="B143" s="33" t="s">
        <v>165</v>
      </c>
      <c r="F143" s="151">
        <f ca="1">+IFERROR(PPMT(Assumptions!$N$151,F2,Assumptions!$N$153,'S&amp;U'!$R$17),0)</f>
        <v>0</v>
      </c>
      <c r="G143" s="151">
        <f ca="1">+IFERROR(PPMT(Assumptions!$N$151,G2,Assumptions!$N$153,'S&amp;U'!$R$17),0)</f>
        <v>0</v>
      </c>
      <c r="H143" s="151">
        <f ca="1">+IFERROR(PPMT(Assumptions!$N$151,H2,Assumptions!$N$153,'S&amp;U'!$R$17),0)</f>
        <v>0</v>
      </c>
      <c r="I143" s="151">
        <f ca="1">+IFERROR(PPMT(Assumptions!$N$151,I2,Assumptions!$N$153,'S&amp;U'!$R$17),0)</f>
        <v>-2469185.2721382957</v>
      </c>
      <c r="J143" s="151">
        <f ca="1">+IFERROR(PPMT(Assumptions!$N$151,J2,Assumptions!$N$153,'S&amp;U'!$R$17),0)</f>
        <v>-2629682.3148272848</v>
      </c>
      <c r="K143" s="151">
        <f ca="1">+IFERROR(PPMT(Assumptions!$N$151,K2,Assumptions!$N$153,'S&amp;U'!$R$17),0)</f>
        <v>-2800611.6652910584</v>
      </c>
      <c r="L143" s="151">
        <f ca="1">+IFERROR(PPMT(Assumptions!$N$151,L2,Assumptions!$N$153,'S&amp;U'!$R$17),0)</f>
        <v>-2982651.4235349768</v>
      </c>
      <c r="M143" s="151">
        <f ca="1">+IFERROR(PPMT(Assumptions!$N$151,M2,Assumptions!$N$153,'S&amp;U'!$R$17),0)</f>
        <v>-3176523.766064751</v>
      </c>
      <c r="N143" s="151">
        <f ca="1">+IFERROR(PPMT(Assumptions!$N$151,N2,Assumptions!$N$153,'S&amp;U'!$R$17),0)</f>
        <v>-3382997.8108589598</v>
      </c>
      <c r="O143" s="151">
        <f ca="1">+IFERROR(PPMT(Assumptions!$N$151,O2,Assumptions!$N$153,'S&amp;U'!$R$17),0)</f>
        <v>-3602892.6685647918</v>
      </c>
      <c r="P143" s="151">
        <f ca="1">+IFERROR(PPMT(Assumptions!$N$151,P2,Assumptions!$N$153,'S&amp;U'!$R$17),0)</f>
        <v>-3837080.6920215036</v>
      </c>
      <c r="Q143" s="151">
        <f ca="1">+IFERROR(PPMT(Assumptions!$N$151,Q2,Assumptions!$N$153,'S&amp;U'!$R$17),0)</f>
        <v>-4086490.937002901</v>
      </c>
      <c r="R143" s="151">
        <f ca="1">+IFERROR(PPMT(Assumptions!$N$151,R2,Assumptions!$N$153,'S&amp;U'!$R$17),0)</f>
        <v>-4352112.8479080899</v>
      </c>
      <c r="S143" s="151">
        <f ca="1">+IFERROR(PPMT(Assumptions!$N$151,S2,Assumptions!$N$153,'S&amp;U'!$R$17),0)</f>
        <v>-4635000.1830221163</v>
      </c>
      <c r="T143" s="151">
        <f ca="1">+IFERROR(PPMT(Assumptions!$N$151,T2,Assumptions!$N$153,'S&amp;U'!$R$17),0)</f>
        <v>-4936275.1949185533</v>
      </c>
      <c r="U143" s="151">
        <f ca="1">+IFERROR(PPMT(Assumptions!$N$151,U2,Assumptions!$N$153,'S&amp;U'!$R$17),0)</f>
        <v>-5257133.0825882601</v>
      </c>
      <c r="V143" s="151">
        <f ca="1">+IFERROR(PPMT(Assumptions!$N$151,V2,Assumptions!$N$153,'S&amp;U'!$R$17),0)</f>
        <v>-5598846.7329564961</v>
      </c>
      <c r="W143" s="151">
        <f ca="1">+IFERROR(PPMT(Assumptions!$N$151,W2,Assumptions!$N$153,'S&amp;U'!$R$17),0)</f>
        <v>-5962771.7705986686</v>
      </c>
      <c r="X143" s="151">
        <f ca="1">+IFERROR(PPMT(Assumptions!$N$151,X2,Assumptions!$N$153,'S&amp;U'!$R$17),0)</f>
        <v>-6350351.935687582</v>
      </c>
      <c r="Y143" s="151">
        <f ca="1">+IFERROR(PPMT(Assumptions!$N$151,Y2,Assumptions!$N$153,'S&amp;U'!$R$17),0)</f>
        <v>-6763124.8115072744</v>
      </c>
      <c r="Z143" s="151">
        <f ca="1">+IFERROR(PPMT(Assumptions!$N$151,Z2,Assumptions!$N$153,'S&amp;U'!$R$17),0)</f>
        <v>-7202727.9242552491</v>
      </c>
    </row>
    <row r="144" spans="2:26" x14ac:dyDescent="0.35">
      <c r="B144" s="33" t="s">
        <v>339</v>
      </c>
      <c r="F144" s="151">
        <f t="shared" ref="F144:N144" ca="1" si="336">+SUM(F141:F143)</f>
        <v>0</v>
      </c>
      <c r="G144" s="151">
        <f t="shared" ca="1" si="336"/>
        <v>0</v>
      </c>
      <c r="H144" s="151">
        <f t="shared" ca="1" si="336"/>
        <v>0</v>
      </c>
      <c r="I144" s="151">
        <f t="shared" ca="1" si="336"/>
        <v>210806356.91512394</v>
      </c>
      <c r="J144" s="151">
        <f t="shared" ca="1" si="336"/>
        <v>208176674.60029665</v>
      </c>
      <c r="K144" s="151">
        <f t="shared" ca="1" si="336"/>
        <v>205376062.93500558</v>
      </c>
      <c r="L144" s="151">
        <f t="shared" ca="1" si="336"/>
        <v>202393411.51147059</v>
      </c>
      <c r="M144" s="151">
        <f t="shared" ca="1" si="336"/>
        <v>199216887.74540582</v>
      </c>
      <c r="N144" s="151">
        <f t="shared" ca="1" si="336"/>
        <v>195833889.93454686</v>
      </c>
      <c r="O144" s="151">
        <f t="shared" ref="O144:Z144" ca="1" si="337">+SUM(O141:O143)</f>
        <v>192230997.26598206</v>
      </c>
      <c r="P144" s="151">
        <f t="shared" ca="1" si="337"/>
        <v>188393916.57396057</v>
      </c>
      <c r="Q144" s="151">
        <f t="shared" ca="1" si="337"/>
        <v>184307425.63695768</v>
      </c>
      <c r="R144" s="151">
        <f t="shared" ca="1" si="337"/>
        <v>179955312.7890496</v>
      </c>
      <c r="S144" s="151">
        <f t="shared" ca="1" si="337"/>
        <v>175320312.60602748</v>
      </c>
      <c r="T144" s="151">
        <f t="shared" ca="1" si="337"/>
        <v>170384037.41110894</v>
      </c>
      <c r="U144" s="151">
        <f t="shared" ca="1" si="337"/>
        <v>165126904.32852069</v>
      </c>
      <c r="V144" s="151">
        <f t="shared" ca="1" si="337"/>
        <v>159528057.59556419</v>
      </c>
      <c r="W144" s="151">
        <f t="shared" ca="1" si="337"/>
        <v>153565285.82496551</v>
      </c>
      <c r="X144" s="151">
        <f t="shared" ca="1" si="337"/>
        <v>147214933.88927794</v>
      </c>
      <c r="Y144" s="151">
        <f t="shared" ca="1" si="337"/>
        <v>140451809.07777065</v>
      </c>
      <c r="Z144" s="151">
        <f t="shared" ca="1" si="337"/>
        <v>133249081.1535154</v>
      </c>
    </row>
    <row r="146" spans="2:26" x14ac:dyDescent="0.35">
      <c r="B146" s="41" t="s">
        <v>338</v>
      </c>
      <c r="F146" s="34">
        <f ca="1">-IFERROR(IPMT(Assumptions!$N$151,F2,Assumptions!$N$153,'S&amp;U'!$R$17),0)</f>
        <v>0</v>
      </c>
      <c r="G146" s="34">
        <f ca="1">-IFERROR(IPMT(Assumptions!$N$151,G2,Assumptions!$N$153,'S&amp;U'!$R$17),0)</f>
        <v>0</v>
      </c>
      <c r="H146" s="34">
        <f ca="1">-IFERROR(IPMT(Assumptions!$N$151,H2,Assumptions!$N$153,'S&amp;U'!$R$17),0)</f>
        <v>0</v>
      </c>
      <c r="I146" s="34">
        <f ca="1">-IFERROR(IPMT(Assumptions!$N$151,I2,Assumptions!$N$153,'S&amp;U'!$R$17),0)</f>
        <v>13862910.242172046</v>
      </c>
      <c r="J146" s="34">
        <f ca="1">-IFERROR(IPMT(Assumptions!$N$151,J2,Assumptions!$N$153,'S&amp;U'!$R$17),0)</f>
        <v>13702413.199483059</v>
      </c>
      <c r="K146" s="34">
        <f ca="1">-IFERROR(IPMT(Assumptions!$N$151,K2,Assumptions!$N$153,'S&amp;U'!$R$17),0)</f>
        <v>13531483.849019285</v>
      </c>
      <c r="L146" s="34">
        <f ca="1">-IFERROR(IPMT(Assumptions!$N$151,L2,Assumptions!$N$153,'S&amp;U'!$R$17),0)</f>
        <v>13349444.090775365</v>
      </c>
      <c r="M146" s="34">
        <f ca="1">-IFERROR(IPMT(Assumptions!$N$151,M2,Assumptions!$N$153,'S&amp;U'!$R$17),0)</f>
        <v>13155571.748245591</v>
      </c>
      <c r="N146" s="34">
        <f ca="1">-IFERROR(IPMT(Assumptions!$N$151,N2,Assumptions!$N$153,'S&amp;U'!$R$17),0)</f>
        <v>12949097.703451382</v>
      </c>
      <c r="O146" s="34">
        <f ca="1">-IFERROR(IPMT(Assumptions!$N$151,O2,Assumptions!$N$153,'S&amp;U'!$R$17),0)</f>
        <v>12729202.84574555</v>
      </c>
      <c r="P146" s="34">
        <f ca="1">-IFERROR(IPMT(Assumptions!$N$151,P2,Assumptions!$N$153,'S&amp;U'!$R$17),0)</f>
        <v>12495014.822288839</v>
      </c>
      <c r="Q146" s="34">
        <f ca="1">-IFERROR(IPMT(Assumptions!$N$151,Q2,Assumptions!$N$153,'S&amp;U'!$R$17),0)</f>
        <v>12245604.577307442</v>
      </c>
      <c r="R146" s="34">
        <f ca="1">-IFERROR(IPMT(Assumptions!$N$151,R2,Assumptions!$N$153,'S&amp;U'!$R$17),0)</f>
        <v>11979982.666402251</v>
      </c>
      <c r="S146" s="34">
        <f ca="1">-IFERROR(IPMT(Assumptions!$N$151,S2,Assumptions!$N$153,'S&amp;U'!$R$17),0)</f>
        <v>11697095.331288226</v>
      </c>
      <c r="T146" s="34">
        <f ca="1">-IFERROR(IPMT(Assumptions!$N$151,T2,Assumptions!$N$153,'S&amp;U'!$R$17),0)</f>
        <v>11395820.319391789</v>
      </c>
      <c r="U146" s="34">
        <f ca="1">-IFERROR(IPMT(Assumptions!$N$151,U2,Assumptions!$N$153,'S&amp;U'!$R$17),0)</f>
        <v>11074962.431722084</v>
      </c>
      <c r="V146" s="34">
        <f ca="1">-IFERROR(IPMT(Assumptions!$N$151,V2,Assumptions!$N$153,'S&amp;U'!$R$17),0)</f>
        <v>10733248.781353846</v>
      </c>
      <c r="W146" s="34">
        <f ca="1">-IFERROR(IPMT(Assumptions!$N$151,W2,Assumptions!$N$153,'S&amp;U'!$R$17),0)</f>
        <v>10369323.743711675</v>
      </c>
      <c r="X146" s="34">
        <f ca="1">-IFERROR(IPMT(Assumptions!$N$151,X2,Assumptions!$N$153,'S&amp;U'!$R$17),0)</f>
        <v>9981743.5786227584</v>
      </c>
      <c r="Y146" s="34">
        <f ca="1">-IFERROR(IPMT(Assumptions!$N$151,Y2,Assumptions!$N$153,'S&amp;U'!$R$17),0)</f>
        <v>9568970.702803066</v>
      </c>
      <c r="Z146" s="34">
        <f ca="1">-IFERROR(IPMT(Assumptions!$N$151,Z2,Assumptions!$N$153,'S&amp;U'!$R$17),0)</f>
        <v>9129367.590055095</v>
      </c>
    </row>
    <row r="147" spans="2:26" x14ac:dyDescent="0.35">
      <c r="B147" s="137" t="s">
        <v>347</v>
      </c>
      <c r="C147" s="137"/>
      <c r="D147" s="137"/>
      <c r="E147" s="137"/>
      <c r="F147" s="129">
        <f t="shared" ref="F147:K147" ca="1" si="338">+F146-F143</f>
        <v>0</v>
      </c>
      <c r="G147" s="129">
        <f t="shared" ca="1" si="338"/>
        <v>0</v>
      </c>
      <c r="H147" s="129">
        <f t="shared" ca="1" si="338"/>
        <v>0</v>
      </c>
      <c r="I147" s="129">
        <f t="shared" ca="1" si="338"/>
        <v>16332095.514310341</v>
      </c>
      <c r="J147" s="129">
        <f t="shared" ca="1" si="338"/>
        <v>16332095.514310345</v>
      </c>
      <c r="K147" s="129">
        <f t="shared" ca="1" si="338"/>
        <v>16332095.514310343</v>
      </c>
      <c r="L147" s="129">
        <f ca="1">+L146-L143</f>
        <v>16332095.514310341</v>
      </c>
      <c r="M147" s="129">
        <f t="shared" ref="M147:Z147" ca="1" si="339">+M146-M143</f>
        <v>16332095.514310341</v>
      </c>
      <c r="N147" s="129">
        <f t="shared" ca="1" si="339"/>
        <v>16332095.514310341</v>
      </c>
      <c r="O147" s="129">
        <f t="shared" ca="1" si="339"/>
        <v>16332095.514310341</v>
      </c>
      <c r="P147" s="129">
        <f t="shared" ca="1" si="339"/>
        <v>16332095.514310343</v>
      </c>
      <c r="Q147" s="129">
        <f t="shared" ca="1" si="339"/>
        <v>16332095.514310343</v>
      </c>
      <c r="R147" s="129">
        <f t="shared" ca="1" si="339"/>
        <v>16332095.514310341</v>
      </c>
      <c r="S147" s="129">
        <f t="shared" ca="1" si="339"/>
        <v>16332095.514310341</v>
      </c>
      <c r="T147" s="129">
        <f t="shared" ca="1" si="339"/>
        <v>16332095.514310341</v>
      </c>
      <c r="U147" s="129">
        <f t="shared" ca="1" si="339"/>
        <v>16332095.514310345</v>
      </c>
      <c r="V147" s="129">
        <f t="shared" ca="1" si="339"/>
        <v>16332095.514310341</v>
      </c>
      <c r="W147" s="129">
        <f t="shared" ca="1" si="339"/>
        <v>16332095.514310343</v>
      </c>
      <c r="X147" s="129">
        <f t="shared" ca="1" si="339"/>
        <v>16332095.514310341</v>
      </c>
      <c r="Y147" s="129">
        <f t="shared" ca="1" si="339"/>
        <v>16332095.514310341</v>
      </c>
      <c r="Z147" s="129">
        <f t="shared" ca="1" si="339"/>
        <v>16332095.514310345</v>
      </c>
    </row>
    <row r="148" spans="2:26" x14ac:dyDescent="0.35">
      <c r="B148" s="146" t="s">
        <v>184</v>
      </c>
      <c r="F148" s="180" t="str">
        <f ca="1">+IFERROR(F138/F147,"")</f>
        <v/>
      </c>
      <c r="G148" s="180" t="str">
        <f t="shared" ref="G148:Z148" ca="1" si="340">+IFERROR(G138/G147,"")</f>
        <v/>
      </c>
      <c r="H148" s="180" t="str">
        <f t="shared" ca="1" si="340"/>
        <v/>
      </c>
      <c r="I148" s="180">
        <f t="shared" ca="1" si="340"/>
        <v>0.61100428566353038</v>
      </c>
      <c r="J148" s="180">
        <f t="shared" ca="1" si="340"/>
        <v>1.2337699393177419</v>
      </c>
      <c r="K148" s="180">
        <f t="shared" ca="1" si="340"/>
        <v>1.2500000000000004</v>
      </c>
      <c r="L148" s="180">
        <f t="shared" ca="1" si="340"/>
        <v>1.3498982068874938</v>
      </c>
      <c r="M148" s="180">
        <f t="shared" ca="1" si="340"/>
        <v>1.3629745770758797</v>
      </c>
      <c r="N148" s="180">
        <f t="shared" ca="1" si="340"/>
        <v>1.3806405215976916</v>
      </c>
      <c r="O148" s="180">
        <f t="shared" ca="1" si="340"/>
        <v>1.3988131856883774</v>
      </c>
      <c r="P148" s="180">
        <f t="shared" ca="1" si="340"/>
        <v>1.4133281915275224</v>
      </c>
      <c r="Q148" s="180">
        <f t="shared" ca="1" si="340"/>
        <v>1.5240546031652822</v>
      </c>
      <c r="R148" s="180">
        <f t="shared" ca="1" si="340"/>
        <v>1.5438375883859505</v>
      </c>
      <c r="S148" s="180">
        <f t="shared" ca="1" si="340"/>
        <v>1.5599261906092854</v>
      </c>
      <c r="T148" s="180">
        <f t="shared" ca="1" si="340"/>
        <v>1.5808623487537043</v>
      </c>
      <c r="U148" s="180">
        <f t="shared" ca="1" si="340"/>
        <v>1.6024003984933894</v>
      </c>
      <c r="V148" s="180">
        <f t="shared" ca="1" si="340"/>
        <v>1.7208259533000572</v>
      </c>
      <c r="W148" s="180">
        <f t="shared" ca="1" si="340"/>
        <v>1.7436209003941909</v>
      </c>
      <c r="X148" s="180">
        <f t="shared" ca="1" si="340"/>
        <v>1.7670718995218158</v>
      </c>
      <c r="Y148" s="180">
        <f t="shared" ca="1" si="340"/>
        <v>1.7867631668602806</v>
      </c>
      <c r="Z148" s="180">
        <f t="shared" ca="1" si="340"/>
        <v>1.8115842096055887</v>
      </c>
    </row>
    <row r="150" spans="2:26" x14ac:dyDescent="0.35">
      <c r="B150" s="41" t="s">
        <v>159</v>
      </c>
      <c r="F150" s="34">
        <f>+F142*Assumptions!$N$152</f>
        <v>0</v>
      </c>
      <c r="G150" s="34">
        <f>+G142*Assumptions!$N$152</f>
        <v>0</v>
      </c>
      <c r="H150" s="34">
        <f>+H142*Assumptions!$N$152</f>
        <v>0</v>
      </c>
      <c r="I150" s="34">
        <f ca="1">+I142*Assumptions!$N$152</f>
        <v>1599566.5664044668</v>
      </c>
      <c r="J150" s="34">
        <f>+J142*Assumptions!$N$152</f>
        <v>0</v>
      </c>
      <c r="K150" s="34">
        <f>+K142*Assumptions!$N$152</f>
        <v>0</v>
      </c>
      <c r="L150" s="34">
        <f>+L142*Assumptions!$N$152</f>
        <v>0</v>
      </c>
      <c r="M150" s="34">
        <f>+M142*Assumptions!$N$152</f>
        <v>0</v>
      </c>
      <c r="N150" s="34">
        <f>+N142*Assumptions!$N$152</f>
        <v>0</v>
      </c>
      <c r="O150" s="34">
        <f>+O142*Assumptions!$N$152</f>
        <v>0</v>
      </c>
      <c r="P150" s="34">
        <f>+P142*Assumptions!$N$152</f>
        <v>0</v>
      </c>
      <c r="Q150" s="34">
        <f>+Q142*Assumptions!$N$152</f>
        <v>0</v>
      </c>
      <c r="R150" s="34">
        <f>+R142*Assumptions!$N$152</f>
        <v>0</v>
      </c>
      <c r="S150" s="34">
        <f>+S142*Assumptions!$N$152</f>
        <v>0</v>
      </c>
      <c r="T150" s="34">
        <f>+T142*Assumptions!$N$152</f>
        <v>0</v>
      </c>
      <c r="U150" s="34">
        <f>+U142*Assumptions!$N$152</f>
        <v>0</v>
      </c>
      <c r="V150" s="34">
        <f>+V142*Assumptions!$N$152</f>
        <v>0</v>
      </c>
      <c r="W150" s="34">
        <f>+W142*Assumptions!$N$152</f>
        <v>0</v>
      </c>
      <c r="X150" s="34">
        <f>+X142*Assumptions!$N$152</f>
        <v>0</v>
      </c>
      <c r="Y150" s="34">
        <f>+Y142*Assumptions!$N$152</f>
        <v>0</v>
      </c>
      <c r="Z150" s="34">
        <f>+Z142*Assumptions!$N$152</f>
        <v>0</v>
      </c>
    </row>
    <row r="152" spans="2:26" s="157" customFormat="1" x14ac:dyDescent="0.35">
      <c r="B152" s="137" t="s">
        <v>340</v>
      </c>
      <c r="C152" s="137"/>
      <c r="D152" s="137"/>
      <c r="E152" s="137"/>
      <c r="F152" s="129">
        <f ca="1">+F138-F147-F150</f>
        <v>0</v>
      </c>
      <c r="G152" s="129">
        <f t="shared" ref="G152:Z152" ca="1" si="341">+G138-G147-G150</f>
        <v>0</v>
      </c>
      <c r="H152" s="129">
        <f t="shared" ca="1" si="341"/>
        <v>0</v>
      </c>
      <c r="I152" s="129">
        <f t="shared" ca="1" si="341"/>
        <v>-7952681.7276050681</v>
      </c>
      <c r="J152" s="129">
        <f t="shared" ca="1" si="341"/>
        <v>3817952.9773118943</v>
      </c>
      <c r="K152" s="129">
        <f t="shared" ca="1" si="341"/>
        <v>4083023.8785775919</v>
      </c>
      <c r="L152" s="129">
        <f t="shared" ca="1" si="341"/>
        <v>5714570.9351724684</v>
      </c>
      <c r="M152" s="129">
        <f t="shared" ca="1" si="341"/>
        <v>5928135.4620696679</v>
      </c>
      <c r="N152" s="129">
        <f t="shared" ca="1" si="341"/>
        <v>6216657.3553504087</v>
      </c>
      <c r="O152" s="129">
        <f t="shared" ca="1" si="341"/>
        <v>6513455.0410289653</v>
      </c>
      <c r="P152" s="129">
        <f t="shared" ca="1" si="341"/>
        <v>6750515.5027846564</v>
      </c>
      <c r="Q152" s="129">
        <f t="shared" ca="1" si="341"/>
        <v>8558909.8336093929</v>
      </c>
      <c r="R152" s="129">
        <f t="shared" ca="1" si="341"/>
        <v>8882007.4377915375</v>
      </c>
      <c r="S152" s="129">
        <f t="shared" ca="1" si="341"/>
        <v>9144768.0259947889</v>
      </c>
      <c r="T152" s="129">
        <f t="shared" ca="1" si="341"/>
        <v>9486699.3605121449</v>
      </c>
      <c r="U152" s="129">
        <f t="shared" ca="1" si="341"/>
        <v>9838460.8460526504</v>
      </c>
      <c r="V152" s="129">
        <f t="shared" ca="1" si="341"/>
        <v>11772598.318490338</v>
      </c>
      <c r="W152" s="129">
        <f t="shared" ca="1" si="341"/>
        <v>12144887.571675384</v>
      </c>
      <c r="X152" s="129">
        <f t="shared" ca="1" si="341"/>
        <v>12527891.529333759</v>
      </c>
      <c r="Y152" s="129">
        <f t="shared" ca="1" si="341"/>
        <v>12849491.188303389</v>
      </c>
      <c r="Z152" s="129">
        <f t="shared" ca="1" si="341"/>
        <v>13254870.829184543</v>
      </c>
    </row>
    <row r="154" spans="2:26" x14ac:dyDescent="0.35">
      <c r="B154" s="148" t="s">
        <v>341</v>
      </c>
    </row>
    <row r="155" spans="2:26" x14ac:dyDescent="0.35">
      <c r="B155" s="33" t="s">
        <v>342</v>
      </c>
      <c r="F155" s="34">
        <f>+IF(YEAR(F$140)=YEAR(Assumptions!$F$30),F136+F114+F93+F72+F51+F28,0)</f>
        <v>0</v>
      </c>
      <c r="G155" s="34">
        <f>+IF(YEAR(G$140)=YEAR(Assumptions!$F$30),G136+G114+G93+G72+G51+G28,0)</f>
        <v>0</v>
      </c>
      <c r="H155" s="34">
        <f>+IF(YEAR(H$140)=YEAR(Assumptions!$F$30),H136+H114+H93+H72+H51+H28,0)</f>
        <v>0</v>
      </c>
      <c r="I155" s="34">
        <f>+IF(YEAR(I$140)=YEAR(Assumptions!$F$30),I136+I114+I93+I72+I51+I28,0)</f>
        <v>0</v>
      </c>
      <c r="J155" s="34">
        <f>+IF(YEAR(J$140)=YEAR(Assumptions!$F$30),J136+J114+J93+J72+J51+J28,0)</f>
        <v>0</v>
      </c>
      <c r="K155" s="34">
        <f>+IF(YEAR(K$140)=YEAR(Assumptions!$F$30),K136+K114+K93+K72+K51+K28,0)</f>
        <v>0</v>
      </c>
      <c r="L155" s="34">
        <f>+IF(YEAR(L$140)=YEAR(Assumptions!$F$30),L136+L114+L93+L72+L51+L28,0)</f>
        <v>0</v>
      </c>
      <c r="M155" s="34">
        <f>+IF(YEAR(M$140)=YEAR(Assumptions!$F$30),M136+M114+M93+M72+M51+M28,0)</f>
        <v>0</v>
      </c>
      <c r="N155" s="34">
        <f>+IF(YEAR(N$140)=YEAR(Assumptions!$F$30),N136+N114+N93+N72+N51+N28,0)</f>
        <v>0</v>
      </c>
      <c r="O155" s="34">
        <f>+IF(YEAR(O$140)=YEAR(Assumptions!$F$30),O136+O114+O93+O72+O51+O28,0)</f>
        <v>0</v>
      </c>
      <c r="P155" s="34">
        <f ca="1">+IF(YEAR(P$140)=YEAR(Assumptions!$F$30),P136+P114+P93+P72+P51+P28,0)</f>
        <v>380601475.71208966</v>
      </c>
      <c r="Q155" s="34">
        <f>+IF(YEAR(Q$140)=YEAR(Assumptions!$F$30),Q136+Q114+Q93+Q72+Q51+Q28,0)</f>
        <v>0</v>
      </c>
      <c r="R155" s="34">
        <f>+IF(YEAR(R$140)=YEAR(Assumptions!$F$30),R136+R114+R93+R72+R51+R28,0)</f>
        <v>0</v>
      </c>
      <c r="S155" s="34">
        <f>+IF(YEAR(S$140)=YEAR(Assumptions!$F$30),S136+S114+S93+S72+S51+S28,0)</f>
        <v>0</v>
      </c>
      <c r="T155" s="34">
        <f>+IF(YEAR(T$140)=YEAR(Assumptions!$F$30),T136+T114+T93+T72+T51+T28,0)</f>
        <v>0</v>
      </c>
      <c r="U155" s="34">
        <f>+IF(YEAR(U$140)=YEAR(Assumptions!$F$30),U136+U114+U93+U72+U51+U28,0)</f>
        <v>0</v>
      </c>
      <c r="V155" s="34">
        <f>+IF(YEAR(V$140)=YEAR(Assumptions!$F$30),V136+V114+V93+V72+V51+V28,0)</f>
        <v>0</v>
      </c>
      <c r="W155" s="34">
        <f>+IF(YEAR(W$140)=YEAR(Assumptions!$F$30),W136+W114+W93+W72+W51+W28,0)</f>
        <v>0</v>
      </c>
      <c r="X155" s="34">
        <f>+IF(YEAR(X$140)=YEAR(Assumptions!$F$30),X136+X114+X93+X72+X51+X28,0)</f>
        <v>0</v>
      </c>
      <c r="Y155" s="34">
        <f>+IF(YEAR(Y$140)=YEAR(Assumptions!$F$30),Y136+Y114+Y93+Y72+Y51+Y28,0)</f>
        <v>0</v>
      </c>
      <c r="Z155" s="34">
        <f>+IF(YEAR(Z$140)=YEAR(Assumptions!$F$30),Z136+Z114+Z93+Z72+Z51+Z28,0)</f>
        <v>0</v>
      </c>
    </row>
    <row r="156" spans="2:26" ht="18.5" x14ac:dyDescent="0.35">
      <c r="B156" s="207" t="s">
        <v>375</v>
      </c>
      <c r="C156" s="207"/>
      <c r="D156" s="207"/>
      <c r="E156" s="207"/>
      <c r="F156" s="151">
        <f>+IF(YEAR(F$140)=YEAR(Assumptions!$F$26),('S&amp;U'!$H$23-'S&amp;U'!$R$25),0)</f>
        <v>0</v>
      </c>
      <c r="G156" s="151">
        <f>+IF(YEAR(G$140)=YEAR(Assumptions!$F$26),('S&amp;U'!$H$23-'S&amp;U'!$R$25),0)</f>
        <v>0</v>
      </c>
      <c r="H156" s="151">
        <f>+IF(YEAR(H$140)=YEAR(Assumptions!$F$26),('S&amp;U'!$H$23-'S&amp;U'!$R$25),0)</f>
        <v>0</v>
      </c>
      <c r="I156" s="151">
        <f ca="1">+IF(YEAR(I$140)=YEAR(Assumptions!$F$26),('S&amp;U'!$H$23-'S&amp;U'!$R$25),0)</f>
        <v>34980880.000533104</v>
      </c>
      <c r="J156" s="151">
        <f>+IF(YEAR(J$140)=YEAR(Assumptions!$F$26),('S&amp;U'!$H$23-'S&amp;U'!$R$25),0)</f>
        <v>0</v>
      </c>
      <c r="K156" s="151">
        <f>+IF(YEAR(K$140)=YEAR(Assumptions!$F$26),('S&amp;U'!$H$23-'S&amp;U'!$R$25),0)</f>
        <v>0</v>
      </c>
      <c r="L156" s="151">
        <f>+IF(YEAR(L$140)=YEAR(Assumptions!$F$26),('S&amp;U'!$H$23-'S&amp;U'!$R$25),0)</f>
        <v>0</v>
      </c>
      <c r="M156" s="151">
        <f>+IF(YEAR(M$140)=YEAR(Assumptions!$F$26),('S&amp;U'!$H$23-'S&amp;U'!$R$25),0)</f>
        <v>0</v>
      </c>
      <c r="N156" s="151">
        <f>+IF(YEAR(N$140)=YEAR(Assumptions!$F$26),('S&amp;U'!$H$23-'S&amp;U'!$R$25),0)</f>
        <v>0</v>
      </c>
      <c r="O156" s="151">
        <f>+IF(YEAR(O$140)=YEAR(Assumptions!$F$26),('S&amp;U'!$H$23-'S&amp;U'!$R$25),0)</f>
        <v>0</v>
      </c>
      <c r="P156" s="151">
        <f>+IF(YEAR(P$140)=YEAR(Assumptions!$F$26),('S&amp;U'!$H$23-'S&amp;U'!$R$25),0)</f>
        <v>0</v>
      </c>
      <c r="Q156" s="151">
        <f>+IF(YEAR(Q$140)=YEAR(Assumptions!$F$26),('S&amp;U'!$H$23-'S&amp;U'!$R$25),0)</f>
        <v>0</v>
      </c>
      <c r="R156" s="151">
        <f>+IF(YEAR(R$140)=YEAR(Assumptions!$F$26),('S&amp;U'!$H$23-'S&amp;U'!$R$25),0)</f>
        <v>0</v>
      </c>
      <c r="S156" s="151">
        <f>+IF(YEAR(S$140)=YEAR(Assumptions!$F$26),('S&amp;U'!$H$23-'S&amp;U'!$R$25),0)</f>
        <v>0</v>
      </c>
      <c r="T156" s="151">
        <f>+IF(YEAR(T$140)=YEAR(Assumptions!$F$26),('S&amp;U'!$H$23-'S&amp;U'!$R$25),0)</f>
        <v>0</v>
      </c>
      <c r="U156" s="151">
        <f>+IF(YEAR(U$140)=YEAR(Assumptions!$F$26),('S&amp;U'!$H$23-'S&amp;U'!$R$25),0)</f>
        <v>0</v>
      </c>
      <c r="V156" s="151">
        <f>+IF(YEAR(V$140)=YEAR(Assumptions!$F$26),('S&amp;U'!$H$23-'S&amp;U'!$R$25),0)</f>
        <v>0</v>
      </c>
      <c r="W156" s="151">
        <f>+IF(YEAR(W$140)=YEAR(Assumptions!$F$26),('S&amp;U'!$H$23-'S&amp;U'!$R$25),0)</f>
        <v>0</v>
      </c>
      <c r="X156" s="151">
        <f>+IF(YEAR(X$140)=YEAR(Assumptions!$F$26),('S&amp;U'!$H$23-'S&amp;U'!$R$25),0)</f>
        <v>0</v>
      </c>
      <c r="Y156" s="151">
        <f>+IF(YEAR(Y$140)=YEAR(Assumptions!$F$26),('S&amp;U'!$H$23-'S&amp;U'!$R$25),0)</f>
        <v>0</v>
      </c>
      <c r="Z156" s="151">
        <f>+IF(YEAR(Z$140)=YEAR(Assumptions!$F$26),('S&amp;U'!$H$23-'S&amp;U'!$R$25),0)</f>
        <v>0</v>
      </c>
    </row>
    <row r="157" spans="2:26" x14ac:dyDescent="0.35">
      <c r="B157" s="33" t="s">
        <v>343</v>
      </c>
      <c r="F157" s="151">
        <f>-F155*Assumptions!$N$136</f>
        <v>0</v>
      </c>
      <c r="G157" s="151">
        <f>-G155*Assumptions!$N$136</f>
        <v>0</v>
      </c>
      <c r="H157" s="151">
        <f>-H155*Assumptions!$N$136</f>
        <v>0</v>
      </c>
      <c r="I157" s="151">
        <f>-I155*Assumptions!$N$136</f>
        <v>0</v>
      </c>
      <c r="J157" s="151">
        <f>-J155*Assumptions!$N$136</f>
        <v>0</v>
      </c>
      <c r="K157" s="151">
        <f>-K155*Assumptions!$N$136</f>
        <v>0</v>
      </c>
      <c r="L157" s="151">
        <f>-L155*Assumptions!$N$136</f>
        <v>0</v>
      </c>
      <c r="M157" s="151">
        <f>-M155*Assumptions!$N$136</f>
        <v>0</v>
      </c>
      <c r="N157" s="151">
        <f>-N155*Assumptions!$N$136</f>
        <v>0</v>
      </c>
      <c r="O157" s="151">
        <f>-O155*Assumptions!$N$136</f>
        <v>0</v>
      </c>
      <c r="P157" s="151">
        <f ca="1">-P155*Assumptions!$N$136</f>
        <v>-7612029.5142417932</v>
      </c>
      <c r="Q157" s="151">
        <f>-Q155*Assumptions!$N$136</f>
        <v>0</v>
      </c>
      <c r="R157" s="151">
        <f>-R155*Assumptions!$N$136</f>
        <v>0</v>
      </c>
      <c r="S157" s="151">
        <f>-S155*Assumptions!$N$136</f>
        <v>0</v>
      </c>
      <c r="T157" s="151">
        <f>-T155*Assumptions!$N$136</f>
        <v>0</v>
      </c>
      <c r="U157" s="151">
        <f>-U155*Assumptions!$N$136</f>
        <v>0</v>
      </c>
      <c r="V157" s="151">
        <f>-V155*Assumptions!$N$136</f>
        <v>0</v>
      </c>
      <c r="W157" s="151">
        <f>-W155*Assumptions!$N$136</f>
        <v>0</v>
      </c>
      <c r="X157" s="151">
        <f>-X155*Assumptions!$N$136</f>
        <v>0</v>
      </c>
      <c r="Y157" s="151">
        <f>-Y155*Assumptions!$N$136</f>
        <v>0</v>
      </c>
      <c r="Z157" s="151">
        <f>-Z155*Assumptions!$N$136</f>
        <v>0</v>
      </c>
    </row>
    <row r="158" spans="2:26" x14ac:dyDescent="0.35">
      <c r="B158" s="33" t="s">
        <v>344</v>
      </c>
      <c r="F158" s="151">
        <f>+IF(YEAR(F$140)=YEAR(Assumptions!$F$30),-F144,0)</f>
        <v>0</v>
      </c>
      <c r="G158" s="151">
        <f>+IF(YEAR(G$140)=YEAR(Assumptions!$F$30),-G144,0)</f>
        <v>0</v>
      </c>
      <c r="H158" s="151">
        <f>+IF(YEAR(H$140)=YEAR(Assumptions!$F$30),-H144,0)</f>
        <v>0</v>
      </c>
      <c r="I158" s="151">
        <f>+IF(YEAR(I$140)=YEAR(Assumptions!$F$30),-I144,0)</f>
        <v>0</v>
      </c>
      <c r="J158" s="151">
        <f>+IF(YEAR(J$140)=YEAR(Assumptions!$F$30),-J144,0)</f>
        <v>0</v>
      </c>
      <c r="K158" s="151">
        <f>+IF(YEAR(K$140)=YEAR(Assumptions!$F$30),-K144,0)</f>
        <v>0</v>
      </c>
      <c r="L158" s="151">
        <f>+IF(YEAR(L$140)=YEAR(Assumptions!$F$30),-L144,0)</f>
        <v>0</v>
      </c>
      <c r="M158" s="151">
        <f>+IF(YEAR(M$140)=YEAR(Assumptions!$F$30),-M144,0)</f>
        <v>0</v>
      </c>
      <c r="N158" s="151">
        <f>+IF(YEAR(N$140)=YEAR(Assumptions!$F$30),-N144,0)</f>
        <v>0</v>
      </c>
      <c r="O158" s="151">
        <f>+IF(YEAR(O$140)=YEAR(Assumptions!$F$30),-O144,0)</f>
        <v>0</v>
      </c>
      <c r="P158" s="151">
        <f ca="1">+IF(YEAR(P$140)=YEAR(Assumptions!$F$30),-P144,0)</f>
        <v>-188393916.57396057</v>
      </c>
      <c r="Q158" s="151">
        <f>+IF(YEAR(Q$140)=YEAR(Assumptions!$F$30),-Q144,0)</f>
        <v>0</v>
      </c>
      <c r="R158" s="151">
        <f>+IF(YEAR(R$140)=YEAR(Assumptions!$F$30),-R144,0)</f>
        <v>0</v>
      </c>
      <c r="S158" s="151">
        <f>+IF(YEAR(S$140)=YEAR(Assumptions!$F$30),-S144,0)</f>
        <v>0</v>
      </c>
      <c r="T158" s="151">
        <f>+IF(YEAR(T$140)=YEAR(Assumptions!$F$30),-T144,0)</f>
        <v>0</v>
      </c>
      <c r="U158" s="151">
        <f>+IF(YEAR(U$140)=YEAR(Assumptions!$F$30),-U144,0)</f>
        <v>0</v>
      </c>
      <c r="V158" s="151">
        <f>+IF(YEAR(V$140)=YEAR(Assumptions!$F$30),-V144,0)</f>
        <v>0</v>
      </c>
      <c r="W158" s="151">
        <f>+IF(YEAR(W$140)=YEAR(Assumptions!$F$30),-W144,0)</f>
        <v>0</v>
      </c>
      <c r="X158" s="151">
        <f>+IF(YEAR(X$140)=YEAR(Assumptions!$F$30),-X144,0)</f>
        <v>0</v>
      </c>
      <c r="Y158" s="151">
        <f>+IF(YEAR(Y$140)=YEAR(Assumptions!$F$30),-Y144,0)</f>
        <v>0</v>
      </c>
      <c r="Z158" s="151">
        <f>+IF(YEAR(Z$140)=YEAR(Assumptions!$F$30),-Z144,0)</f>
        <v>0</v>
      </c>
    </row>
    <row r="159" spans="2:26" x14ac:dyDescent="0.35">
      <c r="B159" s="137" t="s">
        <v>345</v>
      </c>
      <c r="C159" s="137"/>
      <c r="D159" s="137"/>
      <c r="E159" s="137"/>
      <c r="F159" s="129">
        <f>+SUM(F155:F158)</f>
        <v>0</v>
      </c>
      <c r="G159" s="129">
        <f t="shared" ref="G159:Z159" si="342">+SUM(G155:G158)</f>
        <v>0</v>
      </c>
      <c r="H159" s="129">
        <f t="shared" si="342"/>
        <v>0</v>
      </c>
      <c r="I159" s="129">
        <f t="shared" ca="1" si="342"/>
        <v>34980880.000533104</v>
      </c>
      <c r="J159" s="129">
        <f t="shared" si="342"/>
        <v>0</v>
      </c>
      <c r="K159" s="129">
        <f t="shared" si="342"/>
        <v>0</v>
      </c>
      <c r="L159" s="129">
        <f t="shared" si="342"/>
        <v>0</v>
      </c>
      <c r="M159" s="129">
        <f t="shared" si="342"/>
        <v>0</v>
      </c>
      <c r="N159" s="129">
        <f t="shared" si="342"/>
        <v>0</v>
      </c>
      <c r="O159" s="129">
        <f t="shared" si="342"/>
        <v>0</v>
      </c>
      <c r="P159" s="129">
        <f t="shared" ca="1" si="342"/>
        <v>184595529.62388727</v>
      </c>
      <c r="Q159" s="129">
        <f t="shared" si="342"/>
        <v>0</v>
      </c>
      <c r="R159" s="129">
        <f t="shared" si="342"/>
        <v>0</v>
      </c>
      <c r="S159" s="129">
        <f t="shared" si="342"/>
        <v>0</v>
      </c>
      <c r="T159" s="129">
        <f t="shared" si="342"/>
        <v>0</v>
      </c>
      <c r="U159" s="129">
        <f t="shared" si="342"/>
        <v>0</v>
      </c>
      <c r="V159" s="129">
        <f t="shared" si="342"/>
        <v>0</v>
      </c>
      <c r="W159" s="129">
        <f t="shared" si="342"/>
        <v>0</v>
      </c>
      <c r="X159" s="129">
        <f t="shared" si="342"/>
        <v>0</v>
      </c>
      <c r="Y159" s="129">
        <f t="shared" si="342"/>
        <v>0</v>
      </c>
      <c r="Z159" s="129">
        <f t="shared" si="342"/>
        <v>0</v>
      </c>
    </row>
    <row r="160" spans="2:26" x14ac:dyDescent="0.35">
      <c r="B160" s="208" t="s">
        <v>781</v>
      </c>
    </row>
    <row r="162" spans="2:26" x14ac:dyDescent="0.35">
      <c r="B162" s="138" t="s">
        <v>346</v>
      </c>
      <c r="C162" s="138"/>
      <c r="D162" s="138"/>
      <c r="E162" s="138"/>
      <c r="F162" s="139">
        <f ca="1">+IF(YEAR(F$140)&lt;=YEAR(Assumptions!$F$30),'Phase I Pro Forma'!F159+'Phase I Pro Forma'!F152,0)</f>
        <v>0</v>
      </c>
      <c r="G162" s="139">
        <f ca="1">+IF(YEAR(G$140)&lt;=YEAR(Assumptions!$F$30),'Phase I Pro Forma'!G159+'Phase I Pro Forma'!G152,0)</f>
        <v>0</v>
      </c>
      <c r="H162" s="139">
        <f ca="1">+IF(YEAR(H$140)&lt;=YEAR(Assumptions!$F$30),'Phase I Pro Forma'!H159+'Phase I Pro Forma'!H152,0)</f>
        <v>0</v>
      </c>
      <c r="I162" s="139">
        <f ca="1">+IF(YEAR(I$140)&lt;=YEAR(Assumptions!$F$30),'Phase I Pro Forma'!I159+'Phase I Pro Forma'!I152,0)</f>
        <v>27028198.272928037</v>
      </c>
      <c r="J162" s="139">
        <f ca="1">+IF(YEAR(J$140)&lt;=YEAR(Assumptions!$F$30),'Phase I Pro Forma'!J159+'Phase I Pro Forma'!J152,0)</f>
        <v>3817952.9773118943</v>
      </c>
      <c r="K162" s="139">
        <f ca="1">+IF(YEAR(K$140)&lt;=YEAR(Assumptions!$F$30),'Phase I Pro Forma'!K159+'Phase I Pro Forma'!K152,0)</f>
        <v>4083023.8785775919</v>
      </c>
      <c r="L162" s="139">
        <f ca="1">+IF(YEAR(L$140)&lt;=YEAR(Assumptions!$F$30),'Phase I Pro Forma'!L159+'Phase I Pro Forma'!L152,0)</f>
        <v>5714570.9351724684</v>
      </c>
      <c r="M162" s="139">
        <f ca="1">+IF(YEAR(M$140)&lt;=YEAR(Assumptions!$F$30),'Phase I Pro Forma'!M159+'Phase I Pro Forma'!M152,0)</f>
        <v>5928135.4620696679</v>
      </c>
      <c r="N162" s="139">
        <f ca="1">+IF(YEAR(N$140)&lt;=YEAR(Assumptions!$F$30),'Phase I Pro Forma'!N159+'Phase I Pro Forma'!N152,0)</f>
        <v>6216657.3553504087</v>
      </c>
      <c r="O162" s="139">
        <f ca="1">+IF(YEAR(O$140)&lt;=YEAR(Assumptions!$F$30),'Phase I Pro Forma'!O159+'Phase I Pro Forma'!O152,0)</f>
        <v>6513455.0410289653</v>
      </c>
      <c r="P162" s="139">
        <f ca="1">+IF(YEAR(P$140)&lt;=YEAR(Assumptions!$F$30),'Phase I Pro Forma'!P159+'Phase I Pro Forma'!P152,0)</f>
        <v>191346045.12667194</v>
      </c>
      <c r="Q162" s="139">
        <f>+IF(YEAR(Q$140)&lt;=YEAR(Assumptions!$F$30),'Phase I Pro Forma'!Q159+'Phase I Pro Forma'!Q152,0)</f>
        <v>0</v>
      </c>
      <c r="R162" s="139">
        <f>+IF(YEAR(R$140)&lt;=YEAR(Assumptions!$F$30),'Phase I Pro Forma'!R159+'Phase I Pro Forma'!R152,0)</f>
        <v>0</v>
      </c>
      <c r="S162" s="139">
        <f>+IF(YEAR(S$140)&lt;=YEAR(Assumptions!$F$30),'Phase I Pro Forma'!S159+'Phase I Pro Forma'!S152,0)</f>
        <v>0</v>
      </c>
      <c r="T162" s="139">
        <f>+IF(YEAR(T$140)&lt;=YEAR(Assumptions!$F$30),'Phase I Pro Forma'!T159+'Phase I Pro Forma'!T152,0)</f>
        <v>0</v>
      </c>
      <c r="U162" s="139">
        <f>+IF(YEAR(U$140)&lt;=YEAR(Assumptions!$F$30),'Phase I Pro Forma'!U159+'Phase I Pro Forma'!U152,0)</f>
        <v>0</v>
      </c>
      <c r="V162" s="139">
        <f>+IF(YEAR(V$140)&lt;=YEAR(Assumptions!$F$30),'Phase I Pro Forma'!V159+'Phase I Pro Forma'!V152,0)</f>
        <v>0</v>
      </c>
      <c r="W162" s="139">
        <f>+IF(YEAR(W$140)&lt;=YEAR(Assumptions!$F$30),'Phase I Pro Forma'!W159+'Phase I Pro Forma'!W152,0)</f>
        <v>0</v>
      </c>
      <c r="X162" s="139">
        <f>+IF(YEAR(X$140)&lt;=YEAR(Assumptions!$F$30),'Phase I Pro Forma'!X159+'Phase I Pro Forma'!X152,0)</f>
        <v>0</v>
      </c>
      <c r="Y162" s="139">
        <f>+IF(YEAR(Y$140)&lt;=YEAR(Assumptions!$F$30),'Phase I Pro Forma'!Y159+'Phase I Pro Forma'!Y152,0)</f>
        <v>0</v>
      </c>
      <c r="Z162" s="139">
        <f>+IF(YEAR(Z$140)&lt;=YEAR(Assumptions!$F$30),'Phase I Pro Forma'!Z159+'Phase I Pro Forma'!Z152,0)</f>
        <v>0</v>
      </c>
    </row>
    <row r="164" spans="2:26" x14ac:dyDescent="0.35">
      <c r="B164" s="37" t="s">
        <v>778</v>
      </c>
      <c r="C164" s="38"/>
      <c r="D164" s="38"/>
      <c r="E164" s="38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</row>
    <row r="166" spans="2:26" x14ac:dyDescent="0.35">
      <c r="B166" s="148" t="s">
        <v>26</v>
      </c>
      <c r="C166" s="149"/>
      <c r="D166" s="149"/>
      <c r="E166" s="149"/>
      <c r="F166" s="150">
        <f>+Assumptions!$F$22</f>
        <v>44196</v>
      </c>
      <c r="G166" s="150">
        <f>+EOMONTH(F166,12)</f>
        <v>44561</v>
      </c>
      <c r="H166" s="150">
        <f t="shared" ref="H166:Z166" si="343">+EOMONTH(G166,12)</f>
        <v>44926</v>
      </c>
      <c r="I166" s="150">
        <f t="shared" si="343"/>
        <v>45291</v>
      </c>
      <c r="J166" s="150">
        <f t="shared" si="343"/>
        <v>45657</v>
      </c>
      <c r="K166" s="150">
        <f t="shared" si="343"/>
        <v>46022</v>
      </c>
      <c r="L166" s="150">
        <f t="shared" si="343"/>
        <v>46387</v>
      </c>
      <c r="M166" s="150">
        <f t="shared" si="343"/>
        <v>46752</v>
      </c>
      <c r="N166" s="150">
        <f t="shared" si="343"/>
        <v>47118</v>
      </c>
      <c r="O166" s="150">
        <f t="shared" si="343"/>
        <v>47483</v>
      </c>
      <c r="P166" s="150">
        <f t="shared" si="343"/>
        <v>47848</v>
      </c>
      <c r="Q166" s="150">
        <f t="shared" si="343"/>
        <v>48213</v>
      </c>
      <c r="R166" s="150">
        <f t="shared" si="343"/>
        <v>48579</v>
      </c>
      <c r="S166" s="150">
        <f t="shared" si="343"/>
        <v>48944</v>
      </c>
      <c r="T166" s="150">
        <f t="shared" si="343"/>
        <v>49309</v>
      </c>
      <c r="U166" s="150">
        <f t="shared" si="343"/>
        <v>49674</v>
      </c>
      <c r="V166" s="150">
        <f t="shared" si="343"/>
        <v>50040</v>
      </c>
      <c r="W166" s="150">
        <f t="shared" si="343"/>
        <v>50405</v>
      </c>
      <c r="X166" s="150">
        <f t="shared" si="343"/>
        <v>50770</v>
      </c>
      <c r="Y166" s="150">
        <f t="shared" si="343"/>
        <v>51135</v>
      </c>
      <c r="Z166" s="150">
        <f t="shared" si="343"/>
        <v>51501</v>
      </c>
    </row>
    <row r="167" spans="2:26" x14ac:dyDescent="0.35">
      <c r="B167" s="33" t="s">
        <v>767</v>
      </c>
      <c r="C167" s="33"/>
      <c r="D167" s="40"/>
      <c r="E167" s="40"/>
      <c r="F167" s="42">
        <f>+IF(AND(F166&gt;=Assumptions!$F$26,F166&lt;Assumptions!$F$28),Assumptions!$F$93/ROUNDUP((Assumptions!$F$27/12),0),0)</f>
        <v>0</v>
      </c>
      <c r="G167" s="42">
        <f>+IF(AND(G166&gt;=Assumptions!$F$26,G166&lt;Assumptions!$F$28),Assumptions!$F$93/ROUNDUP((Assumptions!$F$27/12),0),0)</f>
        <v>0</v>
      </c>
      <c r="H167" s="42">
        <f>+IF(AND(H166&gt;=Assumptions!$F$26,H166&lt;Assumptions!$F$28),Assumptions!$F$93/ROUNDUP((Assumptions!$F$27/12),0),0)</f>
        <v>0</v>
      </c>
      <c r="I167" s="42">
        <f>+IF(AND(I166&gt;=Assumptions!$F$26,I166&lt;Assumptions!$F$28),Assumptions!$F$93/ROUNDUP((Assumptions!$F$27/12),0),0)</f>
        <v>173.40350000000004</v>
      </c>
      <c r="J167" s="42">
        <f>+IF(AND(J166&gt;=Assumptions!$F$26,J166&lt;Assumptions!$F$28),Assumptions!$F$93/ROUNDUP((Assumptions!$F$27/12),0),0)</f>
        <v>173.40350000000004</v>
      </c>
      <c r="K167" s="42">
        <f>+IF(AND(K166&gt;=Assumptions!$F$26,K166&lt;Assumptions!$F$28),Assumptions!$F$93/ROUNDUP((Assumptions!$F$27/12),0),0)</f>
        <v>0</v>
      </c>
      <c r="L167" s="42">
        <f>+IF(AND(L166&gt;=Assumptions!$F$26,L166&lt;Assumptions!$F$28),Assumptions!$F$93/ROUNDUP((Assumptions!$F$27/12),0),0)</f>
        <v>0</v>
      </c>
      <c r="M167" s="42">
        <f>+IF(AND(M166&gt;=Assumptions!$F$26,M166&lt;Assumptions!$F$28),Assumptions!$F$93/ROUNDUP((Assumptions!$F$27/12),0),0)</f>
        <v>0</v>
      </c>
      <c r="N167" s="42">
        <f>+IF(AND(N166&gt;=Assumptions!$F$26,N166&lt;Assumptions!$F$28),Assumptions!$F$93/ROUNDUP((Assumptions!$F$27/12),0),0)</f>
        <v>0</v>
      </c>
      <c r="O167" s="42">
        <f>+IF(AND(O166&gt;=Assumptions!$F$26,O166&lt;Assumptions!$F$28),Assumptions!$F$93/ROUNDUP((Assumptions!$F$27/12),0),0)</f>
        <v>0</v>
      </c>
      <c r="P167" s="42">
        <f>+IF(AND(P166&gt;=Assumptions!$F$26,P166&lt;Assumptions!$F$28),Assumptions!$F$93/ROUNDUP((Assumptions!$F$27/12),0),0)</f>
        <v>0</v>
      </c>
      <c r="Q167" s="42">
        <f>+IF(AND(Q166&gt;=Assumptions!$F$26,Q166&lt;Assumptions!$F$28),Assumptions!$F$93/ROUNDUP((Assumptions!$F$27/12),0),0)</f>
        <v>0</v>
      </c>
      <c r="R167" s="42">
        <f>+IF(AND(R166&gt;=Assumptions!$F$26,R166&lt;Assumptions!$F$28),Assumptions!$F$93/ROUNDUP((Assumptions!$F$27/12),0),0)</f>
        <v>0</v>
      </c>
      <c r="S167" s="42">
        <f>+IF(AND(S166&gt;=Assumptions!$F$26,S166&lt;Assumptions!$F$28),Assumptions!$F$93/ROUNDUP((Assumptions!$F$27/12),0),0)</f>
        <v>0</v>
      </c>
      <c r="T167" s="42">
        <f>+IF(AND(T166&gt;=Assumptions!$F$26,T166&lt;Assumptions!$F$28),Assumptions!$F$93/ROUNDUP((Assumptions!$F$27/12),0),0)</f>
        <v>0</v>
      </c>
      <c r="U167" s="42">
        <f>+IF(AND(U166&gt;=Assumptions!$F$26,U166&lt;Assumptions!$F$28),Assumptions!$F$93/ROUNDUP((Assumptions!$F$27/12),0),0)</f>
        <v>0</v>
      </c>
      <c r="V167" s="42">
        <f>+IF(AND(V166&gt;=Assumptions!$F$26,V166&lt;Assumptions!$F$28),Assumptions!$F$93/ROUNDUP((Assumptions!$F$27/12),0),0)</f>
        <v>0</v>
      </c>
      <c r="W167" s="42">
        <f>+IF(AND(W166&gt;=Assumptions!$F$26,W166&lt;Assumptions!$F$28),Assumptions!$F$93/ROUNDUP((Assumptions!$F$27/12),0),0)</f>
        <v>0</v>
      </c>
      <c r="X167" s="42">
        <f>+IF(AND(X166&gt;=Assumptions!$F$26,X166&lt;Assumptions!$F$28),Assumptions!$F$93/ROUNDUP((Assumptions!$F$27/12),0),0)</f>
        <v>0</v>
      </c>
      <c r="Y167" s="42">
        <f>+IF(AND(Y166&gt;=Assumptions!$F$26,Y166&lt;Assumptions!$F$28),Assumptions!$F$93/ROUNDUP((Assumptions!$F$27/12),0),0)</f>
        <v>0</v>
      </c>
      <c r="Z167" s="42">
        <f>+IF(AND(Z166&gt;=Assumptions!$F$26,Z166&lt;Assumptions!$F$28),Assumptions!$F$93/ROUNDUP((Assumptions!$F$27/12),0),0)</f>
        <v>0</v>
      </c>
    </row>
    <row r="168" spans="2:26" x14ac:dyDescent="0.35">
      <c r="B168" s="33" t="s">
        <v>311</v>
      </c>
      <c r="C168" s="33"/>
      <c r="D168" s="40"/>
      <c r="E168" s="40"/>
      <c r="F168" s="42">
        <f>+D168+F167</f>
        <v>0</v>
      </c>
      <c r="G168" s="42">
        <f t="shared" ref="G168:Z168" si="344">+F168+G167</f>
        <v>0</v>
      </c>
      <c r="H168" s="42">
        <f t="shared" si="344"/>
        <v>0</v>
      </c>
      <c r="I168" s="42">
        <f t="shared" si="344"/>
        <v>173.40350000000004</v>
      </c>
      <c r="J168" s="42">
        <f t="shared" si="344"/>
        <v>346.80700000000007</v>
      </c>
      <c r="K168" s="42">
        <f t="shared" si="344"/>
        <v>346.80700000000007</v>
      </c>
      <c r="L168" s="42">
        <f t="shared" si="344"/>
        <v>346.80700000000007</v>
      </c>
      <c r="M168" s="42">
        <f t="shared" si="344"/>
        <v>346.80700000000007</v>
      </c>
      <c r="N168" s="42">
        <f t="shared" si="344"/>
        <v>346.80700000000007</v>
      </c>
      <c r="O168" s="42">
        <f t="shared" si="344"/>
        <v>346.80700000000007</v>
      </c>
      <c r="P168" s="42">
        <f t="shared" si="344"/>
        <v>346.80700000000007</v>
      </c>
      <c r="Q168" s="42">
        <f t="shared" si="344"/>
        <v>346.80700000000007</v>
      </c>
      <c r="R168" s="42">
        <f t="shared" si="344"/>
        <v>346.80700000000007</v>
      </c>
      <c r="S168" s="42">
        <f t="shared" si="344"/>
        <v>346.80700000000007</v>
      </c>
      <c r="T168" s="42">
        <f t="shared" si="344"/>
        <v>346.80700000000007</v>
      </c>
      <c r="U168" s="42">
        <f t="shared" si="344"/>
        <v>346.80700000000007</v>
      </c>
      <c r="V168" s="42">
        <f t="shared" si="344"/>
        <v>346.80700000000007</v>
      </c>
      <c r="W168" s="42">
        <f t="shared" si="344"/>
        <v>346.80700000000007</v>
      </c>
      <c r="X168" s="42">
        <f t="shared" si="344"/>
        <v>346.80700000000007</v>
      </c>
      <c r="Y168" s="42">
        <f t="shared" si="344"/>
        <v>346.80700000000007</v>
      </c>
      <c r="Z168" s="42">
        <f t="shared" si="344"/>
        <v>346.80700000000007</v>
      </c>
    </row>
    <row r="169" spans="2:26" x14ac:dyDescent="0.35">
      <c r="B169" s="33" t="s">
        <v>305</v>
      </c>
      <c r="C169" s="33"/>
      <c r="D169" s="42"/>
      <c r="E169" s="42"/>
      <c r="F169" s="108">
        <f t="shared" ref="F169:J169" si="345">+F168/SUM($F167:$Z167)</f>
        <v>0</v>
      </c>
      <c r="G169" s="108">
        <f t="shared" si="345"/>
        <v>0</v>
      </c>
      <c r="H169" s="108">
        <f t="shared" si="345"/>
        <v>0</v>
      </c>
      <c r="I169" s="108">
        <f t="shared" si="345"/>
        <v>0.5</v>
      </c>
      <c r="J169" s="108">
        <f t="shared" si="345"/>
        <v>1</v>
      </c>
      <c r="K169" s="108">
        <f>+K168/SUM($F167:$Z167)</f>
        <v>1</v>
      </c>
      <c r="L169" s="108">
        <f t="shared" ref="L169:Z169" si="346">+L168/SUM($F167:$Z167)</f>
        <v>1</v>
      </c>
      <c r="M169" s="108">
        <f t="shared" si="346"/>
        <v>1</v>
      </c>
      <c r="N169" s="108">
        <f t="shared" si="346"/>
        <v>1</v>
      </c>
      <c r="O169" s="108">
        <f t="shared" si="346"/>
        <v>1</v>
      </c>
      <c r="P169" s="108">
        <f t="shared" si="346"/>
        <v>1</v>
      </c>
      <c r="Q169" s="108">
        <f t="shared" si="346"/>
        <v>1</v>
      </c>
      <c r="R169" s="108">
        <f t="shared" si="346"/>
        <v>1</v>
      </c>
      <c r="S169" s="108">
        <f t="shared" si="346"/>
        <v>1</v>
      </c>
      <c r="T169" s="108">
        <f t="shared" si="346"/>
        <v>1</v>
      </c>
      <c r="U169" s="108">
        <f t="shared" si="346"/>
        <v>1</v>
      </c>
      <c r="V169" s="108">
        <f t="shared" si="346"/>
        <v>1</v>
      </c>
      <c r="W169" s="108">
        <f t="shared" si="346"/>
        <v>1</v>
      </c>
      <c r="X169" s="108">
        <f t="shared" si="346"/>
        <v>1</v>
      </c>
      <c r="Y169" s="108">
        <f t="shared" si="346"/>
        <v>1</v>
      </c>
      <c r="Z169" s="108">
        <f t="shared" si="346"/>
        <v>1</v>
      </c>
    </row>
    <row r="170" spans="2:26" x14ac:dyDescent="0.35">
      <c r="B170" s="33"/>
      <c r="C170" s="33"/>
      <c r="D170" s="42"/>
      <c r="E170" s="42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</row>
    <row r="171" spans="2:26" x14ac:dyDescent="0.35">
      <c r="B171" s="33" t="s">
        <v>308</v>
      </c>
      <c r="F171" s="34">
        <f>+IF(F2=1,Assumptions!$F$118,IF(F2=2,Assumptions!$F$120,IF(F2&gt;2,Assumptions!$F$97,0)))</f>
        <v>0</v>
      </c>
      <c r="G171" s="34">
        <f>+IF(G2=1,Assumptions!$F$118,IF(G2=2,Assumptions!$F$120,IF(G2&gt;2,Assumptions!$F$97,0)))</f>
        <v>0</v>
      </c>
      <c r="H171" s="34">
        <f>+IF(H2=1,Assumptions!$F$118,IF(H2=2,Assumptions!$F$120,IF(H2&gt;2,Assumptions!$F$97,0)))</f>
        <v>0</v>
      </c>
      <c r="I171" s="34">
        <f>+IF(I2=1,Assumptions!$F$118,IF(I2=2,Assumptions!$F$120,IF(I2&gt;2,Assumptions!$F$97,0)))</f>
        <v>170</v>
      </c>
      <c r="J171" s="34">
        <f>+IF(J2=1,Assumptions!$F$118,IF(J2=2,Assumptions!$F$120,IF(J2&gt;2,Assumptions!$F$97,0)))</f>
        <v>175</v>
      </c>
      <c r="K171" s="34">
        <f>+IF(K2=1,Assumptions!$F$118,IF(K2=2,Assumptions!$F$120,IF(K2&gt;2,Assumptions!$F$97,0)))</f>
        <v>180</v>
      </c>
      <c r="L171" s="34">
        <f>+IF(L2=1,Assumptions!$F$118,IF(L2=2,Assumptions!$F$120,IF(L2&gt;2,Assumptions!$F$97,0)))</f>
        <v>180</v>
      </c>
      <c r="M171" s="34">
        <f>+IF(M2=1,Assumptions!$F$118,IF(M2=2,Assumptions!$F$120,IF(M2&gt;2,Assumptions!$F$97,0)))</f>
        <v>180</v>
      </c>
      <c r="N171" s="34">
        <f>+IF(N2=1,Assumptions!$F$118,IF(N2=2,Assumptions!$F$120,IF(N2&gt;2,Assumptions!$F$97,0)))</f>
        <v>180</v>
      </c>
      <c r="O171" s="34">
        <f>+IF(O2=1,Assumptions!$F$118,IF(O2=2,Assumptions!$F$120,IF(O2&gt;2,Assumptions!$F$97,0)))</f>
        <v>180</v>
      </c>
      <c r="P171" s="34">
        <f>+IF(P2=1,Assumptions!$F$118,IF(P2=2,Assumptions!$F$120,IF(P2&gt;2,Assumptions!$F$97,0)))</f>
        <v>180</v>
      </c>
      <c r="Q171" s="34">
        <f>+IF(Q2=1,Assumptions!$F$118,IF(Q2=2,Assumptions!$F$120,IF(Q2&gt;2,Assumptions!$F$97,0)))</f>
        <v>180</v>
      </c>
      <c r="R171" s="34">
        <f>+IF(R2=1,Assumptions!$F$118,IF(R2=2,Assumptions!$F$120,IF(R2&gt;2,Assumptions!$F$97,0)))</f>
        <v>180</v>
      </c>
      <c r="S171" s="34">
        <f>+IF(S2=1,Assumptions!$F$118,IF(S2=2,Assumptions!$F$120,IF(S2&gt;2,Assumptions!$F$97,0)))</f>
        <v>180</v>
      </c>
      <c r="T171" s="34">
        <f>+IF(T2=1,Assumptions!$F$118,IF(T2=2,Assumptions!$F$120,IF(T2&gt;2,Assumptions!$F$97,0)))</f>
        <v>180</v>
      </c>
      <c r="U171" s="34">
        <f>+IF(U2=1,Assumptions!$F$118,IF(U2=2,Assumptions!$F$120,IF(U2&gt;2,Assumptions!$F$97,0)))</f>
        <v>180</v>
      </c>
      <c r="V171" s="34">
        <f>+IF(V2=1,Assumptions!$F$118,IF(V2=2,Assumptions!$F$120,IF(V2&gt;2,Assumptions!$F$97,0)))</f>
        <v>180</v>
      </c>
      <c r="W171" s="34">
        <f>+IF(W2=1,Assumptions!$F$118,IF(W2=2,Assumptions!$F$120,IF(W2&gt;2,Assumptions!$F$97,0)))</f>
        <v>180</v>
      </c>
      <c r="X171" s="34">
        <f>+IF(X2=1,Assumptions!$F$118,IF(X2=2,Assumptions!$F$120,IF(X2&gt;2,Assumptions!$F$97,0)))</f>
        <v>180</v>
      </c>
      <c r="Y171" s="34">
        <f>+IF(Y2=1,Assumptions!$F$118,IF(Y2=2,Assumptions!$F$120,IF(Y2&gt;2,Assumptions!$F$97,0)))</f>
        <v>180</v>
      </c>
      <c r="Z171" s="34">
        <f>+IF(Z2=1,Assumptions!$F$118,IF(Z2=2,Assumptions!$F$120,IF(Z2&gt;2,Assumptions!$F$97,0)))</f>
        <v>180</v>
      </c>
    </row>
    <row r="172" spans="2:26" x14ac:dyDescent="0.35">
      <c r="B172" s="33" t="s">
        <v>315</v>
      </c>
      <c r="C172" s="33"/>
      <c r="D172" s="42"/>
      <c r="E172" s="42"/>
      <c r="F172" s="108">
        <v>1</v>
      </c>
      <c r="G172" s="108">
        <f>+F172*(1+Assumptions!$N$67)</f>
        <v>1.02</v>
      </c>
      <c r="H172" s="108">
        <f>+G172*(1+Assumptions!$N$67)</f>
        <v>1.0404</v>
      </c>
      <c r="I172" s="108">
        <f>+H172*(1+Assumptions!$N$67)</f>
        <v>1.0612079999999999</v>
      </c>
      <c r="J172" s="108">
        <f>+I172*(1+Assumptions!$N$67)</f>
        <v>1.08243216</v>
      </c>
      <c r="K172" s="108">
        <f>+J172*(1+Assumptions!$N$67)</f>
        <v>1.1040808032</v>
      </c>
      <c r="L172" s="108">
        <f>+K172*(1+Assumptions!$N$67)</f>
        <v>1.1261624192640001</v>
      </c>
      <c r="M172" s="108">
        <f>+L172*(1+Assumptions!$N$67)</f>
        <v>1.14868566764928</v>
      </c>
      <c r="N172" s="108">
        <f>+M172*(1+Assumptions!$N$67)</f>
        <v>1.1716593810022657</v>
      </c>
      <c r="O172" s="108">
        <f>+N172*(1+Assumptions!$N$67)</f>
        <v>1.1950925686223111</v>
      </c>
      <c r="P172" s="108">
        <f>+O172*(1+Assumptions!$N$67)</f>
        <v>1.2189944199947573</v>
      </c>
      <c r="Q172" s="108">
        <f>+P172*(1+Assumptions!$N$67)</f>
        <v>1.2433743083946525</v>
      </c>
      <c r="R172" s="108">
        <f>+Q172*(1+Assumptions!$N$67)</f>
        <v>1.2682417945625455</v>
      </c>
      <c r="S172" s="108">
        <f>+R172*(1+Assumptions!$N$67)</f>
        <v>1.2936066304537963</v>
      </c>
      <c r="T172" s="108">
        <f>+S172*(1+Assumptions!$N$67)</f>
        <v>1.3194787630628724</v>
      </c>
      <c r="U172" s="108">
        <f>+T172*(1+Assumptions!$N$67)</f>
        <v>1.3458683383241299</v>
      </c>
      <c r="V172" s="108">
        <f>+U172*(1+Assumptions!$N$67)</f>
        <v>1.3727857050906125</v>
      </c>
      <c r="W172" s="108">
        <f>+V172*(1+Assumptions!$N$67)</f>
        <v>1.4002414191924248</v>
      </c>
      <c r="X172" s="108">
        <f>+W172*(1+Assumptions!$N$67)</f>
        <v>1.4282462475762734</v>
      </c>
      <c r="Y172" s="108">
        <f>+X172*(1+Assumptions!$N$67)</f>
        <v>1.4568111725277988</v>
      </c>
      <c r="Z172" s="108">
        <f>+Y172*(1+Assumptions!$N$67)</f>
        <v>1.4859473959783549</v>
      </c>
    </row>
    <row r="173" spans="2:26" x14ac:dyDescent="0.35">
      <c r="B173" s="33" t="s">
        <v>309</v>
      </c>
      <c r="C173" s="33"/>
      <c r="D173" s="42"/>
      <c r="E173" s="42"/>
      <c r="F173" s="34">
        <f>+F171*F172</f>
        <v>0</v>
      </c>
      <c r="G173" s="34">
        <f t="shared" ref="G173:Z173" si="347">+G171*G172</f>
        <v>0</v>
      </c>
      <c r="H173" s="34">
        <f t="shared" si="347"/>
        <v>0</v>
      </c>
      <c r="I173" s="34">
        <f t="shared" si="347"/>
        <v>180.40536</v>
      </c>
      <c r="J173" s="34">
        <f t="shared" si="347"/>
        <v>189.42562799999999</v>
      </c>
      <c r="K173" s="34">
        <f t="shared" si="347"/>
        <v>198.73454457599999</v>
      </c>
      <c r="L173" s="34">
        <f t="shared" si="347"/>
        <v>202.70923546752002</v>
      </c>
      <c r="M173" s="34">
        <f t="shared" si="347"/>
        <v>206.7634201768704</v>
      </c>
      <c r="N173" s="34">
        <f t="shared" si="347"/>
        <v>210.89868858040782</v>
      </c>
      <c r="O173" s="34">
        <f t="shared" si="347"/>
        <v>215.11666235201599</v>
      </c>
      <c r="P173" s="34">
        <f t="shared" si="347"/>
        <v>219.41899559905633</v>
      </c>
      <c r="Q173" s="34">
        <f t="shared" si="347"/>
        <v>223.80737551103743</v>
      </c>
      <c r="R173" s="34">
        <f t="shared" si="347"/>
        <v>228.28352302125819</v>
      </c>
      <c r="S173" s="34">
        <f t="shared" si="347"/>
        <v>232.84919348168333</v>
      </c>
      <c r="T173" s="34">
        <f t="shared" si="347"/>
        <v>237.50617735131704</v>
      </c>
      <c r="U173" s="34">
        <f t="shared" si="347"/>
        <v>242.25630089834337</v>
      </c>
      <c r="V173" s="34">
        <f t="shared" si="347"/>
        <v>247.10142691631026</v>
      </c>
      <c r="W173" s="34">
        <f t="shared" si="347"/>
        <v>252.04345545463647</v>
      </c>
      <c r="X173" s="34">
        <f t="shared" si="347"/>
        <v>257.08432456372918</v>
      </c>
      <c r="Y173" s="34">
        <f t="shared" si="347"/>
        <v>262.22601105500377</v>
      </c>
      <c r="Z173" s="34">
        <f t="shared" si="347"/>
        <v>267.47053127610388</v>
      </c>
    </row>
    <row r="174" spans="2:26" x14ac:dyDescent="0.35">
      <c r="B174" s="33"/>
    </row>
    <row r="175" spans="2:26" x14ac:dyDescent="0.35">
      <c r="B175" s="33" t="s">
        <v>156</v>
      </c>
      <c r="F175" s="108">
        <f>+IF(F2=1,Assumptions!$F$117,IF(F2=2,Assumptions!$F$119,IF(F2&gt;2,Assumptions!$F$96,0)))</f>
        <v>0</v>
      </c>
      <c r="G175" s="108">
        <f>+IF(G2=1,Assumptions!$F$117,IF(G2=2,Assumptions!$F$119,IF(G2&gt;2,Assumptions!$F$96,0)))</f>
        <v>0</v>
      </c>
      <c r="H175" s="108">
        <f>+IF(H2=1,Assumptions!$F$117,IF(H2=2,Assumptions!$F$119,IF(H2&gt;2,Assumptions!$F$96,0)))</f>
        <v>0</v>
      </c>
      <c r="I175" s="108">
        <f>+IF(I2=1,Assumptions!$F$117,IF(I2=2,Assumptions!$F$119,IF(I2&gt;2,Assumptions!$F$96,0)))</f>
        <v>0.65</v>
      </c>
      <c r="J175" s="108">
        <f>+IF(J2=1,Assumptions!$F$117,IF(J2=2,Assumptions!$F$119,IF(J2&gt;2,Assumptions!$F$96,0)))</f>
        <v>0.7</v>
      </c>
      <c r="K175" s="108">
        <f>+IF(K2=1,Assumptions!$F$117,IF(K2=2,Assumptions!$F$119,IF(K2&gt;2,Assumptions!$F$96,0)))</f>
        <v>0.7</v>
      </c>
      <c r="L175" s="108">
        <f>+IF(L2=1,Assumptions!$F$117,IF(L2=2,Assumptions!$F$119,IF(L2&gt;2,Assumptions!$F$96,0)))</f>
        <v>0.7</v>
      </c>
      <c r="M175" s="108">
        <f>+IF(M2=1,Assumptions!$F$117,IF(M2=2,Assumptions!$F$119,IF(M2&gt;2,Assumptions!$F$96,0)))</f>
        <v>0.7</v>
      </c>
      <c r="N175" s="108">
        <f>+IF(N2=1,Assumptions!$F$117,IF(N2=2,Assumptions!$F$119,IF(N2&gt;2,Assumptions!$F$96,0)))</f>
        <v>0.7</v>
      </c>
      <c r="O175" s="108">
        <f>+IF(O2=1,Assumptions!$F$117,IF(O2=2,Assumptions!$F$119,IF(O2&gt;2,Assumptions!$F$96,0)))</f>
        <v>0.7</v>
      </c>
      <c r="P175" s="108">
        <f>+IF(P2=1,Assumptions!$F$117,IF(P2=2,Assumptions!$F$119,IF(P2&gt;2,Assumptions!$F$96,0)))</f>
        <v>0.7</v>
      </c>
      <c r="Q175" s="108">
        <f>+IF(Q2=1,Assumptions!$F$117,IF(Q2=2,Assumptions!$F$119,IF(Q2&gt;2,Assumptions!$F$96,0)))</f>
        <v>0.7</v>
      </c>
      <c r="R175" s="108">
        <f>+IF(R2=1,Assumptions!$F$117,IF(R2=2,Assumptions!$F$119,IF(R2&gt;2,Assumptions!$F$96,0)))</f>
        <v>0.7</v>
      </c>
      <c r="S175" s="108">
        <f>+IF(S2=1,Assumptions!$F$117,IF(S2=2,Assumptions!$F$119,IF(S2&gt;2,Assumptions!$F$96,0)))</f>
        <v>0.7</v>
      </c>
      <c r="T175" s="108">
        <f>+IF(T2=1,Assumptions!$F$117,IF(T2=2,Assumptions!$F$119,IF(T2&gt;2,Assumptions!$F$96,0)))</f>
        <v>0.7</v>
      </c>
      <c r="U175" s="108">
        <f>+IF(U2=1,Assumptions!$F$117,IF(U2=2,Assumptions!$F$119,IF(U2&gt;2,Assumptions!$F$96,0)))</f>
        <v>0.7</v>
      </c>
      <c r="V175" s="108">
        <f>+IF(V2=1,Assumptions!$F$117,IF(V2=2,Assumptions!$F$119,IF(V2&gt;2,Assumptions!$F$96,0)))</f>
        <v>0.7</v>
      </c>
      <c r="W175" s="108">
        <f>+IF(W2=1,Assumptions!$F$117,IF(W2=2,Assumptions!$F$119,IF(W2&gt;2,Assumptions!$F$96,0)))</f>
        <v>0.7</v>
      </c>
      <c r="X175" s="108">
        <f>+IF(X2=1,Assumptions!$F$117,IF(X2=2,Assumptions!$F$119,IF(X2&gt;2,Assumptions!$F$96,0)))</f>
        <v>0.7</v>
      </c>
      <c r="Y175" s="108">
        <f>+IF(Y2=1,Assumptions!$F$117,IF(Y2=2,Assumptions!$F$119,IF(Y2&gt;2,Assumptions!$F$96,0)))</f>
        <v>0.7</v>
      </c>
      <c r="Z175" s="108">
        <f>+IF(Z2=1,Assumptions!$F$117,IF(Z2=2,Assumptions!$F$119,IF(Z2&gt;2,Assumptions!$F$96,0)))</f>
        <v>0.7</v>
      </c>
    </row>
    <row r="176" spans="2:26" x14ac:dyDescent="0.35">
      <c r="B176" s="33" t="s">
        <v>155</v>
      </c>
      <c r="F176" s="34">
        <f>+F173*F175</f>
        <v>0</v>
      </c>
      <c r="G176" s="34">
        <f t="shared" ref="G176:Z176" si="348">+G173*G175</f>
        <v>0</v>
      </c>
      <c r="H176" s="34">
        <f t="shared" si="348"/>
        <v>0</v>
      </c>
      <c r="I176" s="34">
        <f t="shared" si="348"/>
        <v>117.26348400000001</v>
      </c>
      <c r="J176" s="34">
        <f t="shared" si="348"/>
        <v>132.59793959999999</v>
      </c>
      <c r="K176" s="34">
        <f t="shared" si="348"/>
        <v>139.11418120319999</v>
      </c>
      <c r="L176" s="34">
        <f t="shared" si="348"/>
        <v>141.896464827264</v>
      </c>
      <c r="M176" s="34">
        <f t="shared" si="348"/>
        <v>144.73439412380927</v>
      </c>
      <c r="N176" s="34">
        <f t="shared" si="348"/>
        <v>147.62908200628547</v>
      </c>
      <c r="O176" s="34">
        <f t="shared" si="348"/>
        <v>150.58166364641119</v>
      </c>
      <c r="P176" s="34">
        <f t="shared" si="348"/>
        <v>153.59329691933942</v>
      </c>
      <c r="Q176" s="34">
        <f t="shared" si="348"/>
        <v>156.66516285772619</v>
      </c>
      <c r="R176" s="34">
        <f t="shared" si="348"/>
        <v>159.79846611488071</v>
      </c>
      <c r="S176" s="34">
        <f t="shared" si="348"/>
        <v>162.99443543717831</v>
      </c>
      <c r="T176" s="34">
        <f t="shared" si="348"/>
        <v>166.25432414592191</v>
      </c>
      <c r="U176" s="34">
        <f t="shared" si="348"/>
        <v>169.57941062884035</v>
      </c>
      <c r="V176" s="34">
        <f t="shared" si="348"/>
        <v>172.97099884141718</v>
      </c>
      <c r="W176" s="34">
        <f t="shared" si="348"/>
        <v>176.43041881824553</v>
      </c>
      <c r="X176" s="34">
        <f t="shared" si="348"/>
        <v>179.95902719461043</v>
      </c>
      <c r="Y176" s="34">
        <f t="shared" si="348"/>
        <v>183.55820773850263</v>
      </c>
      <c r="Z176" s="34">
        <f t="shared" si="348"/>
        <v>187.22937189327271</v>
      </c>
    </row>
    <row r="177" spans="2:26" x14ac:dyDescent="0.35">
      <c r="B177" s="137" t="s">
        <v>307</v>
      </c>
      <c r="C177" s="137"/>
      <c r="D177" s="137"/>
      <c r="E177" s="137"/>
      <c r="F177" s="129">
        <f>+F176*365.25*F168</f>
        <v>0</v>
      </c>
      <c r="G177" s="129">
        <f t="shared" ref="G177:Z177" si="349">+G176*365.25*G168</f>
        <v>0</v>
      </c>
      <c r="H177" s="129">
        <f t="shared" si="349"/>
        <v>0</v>
      </c>
      <c r="I177" s="129">
        <f t="shared" si="349"/>
        <v>7426956.4445817601</v>
      </c>
      <c r="J177" s="129">
        <f t="shared" si="349"/>
        <v>16796347.651592597</v>
      </c>
      <c r="K177" s="129">
        <f t="shared" si="349"/>
        <v>17621768.164756574</v>
      </c>
      <c r="L177" s="129">
        <f t="shared" si="349"/>
        <v>17974203.528051708</v>
      </c>
      <c r="M177" s="129">
        <f t="shared" si="349"/>
        <v>18333687.598612737</v>
      </c>
      <c r="N177" s="129">
        <f t="shared" si="349"/>
        <v>18700361.350584999</v>
      </c>
      <c r="O177" s="129">
        <f t="shared" si="349"/>
        <v>19074368.577596698</v>
      </c>
      <c r="P177" s="129">
        <f t="shared" si="349"/>
        <v>19455855.949148633</v>
      </c>
      <c r="Q177" s="129">
        <f t="shared" si="349"/>
        <v>19844973.068131603</v>
      </c>
      <c r="R177" s="129">
        <f t="shared" si="349"/>
        <v>20241872.529494233</v>
      </c>
      <c r="S177" s="129">
        <f t="shared" si="349"/>
        <v>20646709.980084114</v>
      </c>
      <c r="T177" s="129">
        <f t="shared" si="349"/>
        <v>21059644.179685805</v>
      </c>
      <c r="U177" s="129">
        <f t="shared" si="349"/>
        <v>21480837.063279521</v>
      </c>
      <c r="V177" s="129">
        <f t="shared" si="349"/>
        <v>21910453.804545112</v>
      </c>
      <c r="W177" s="129">
        <f t="shared" si="349"/>
        <v>22348662.880636014</v>
      </c>
      <c r="X177" s="129">
        <f t="shared" si="349"/>
        <v>22795636.138248738</v>
      </c>
      <c r="Y177" s="129">
        <f t="shared" si="349"/>
        <v>23251548.86101371</v>
      </c>
      <c r="Z177" s="129">
        <f t="shared" si="349"/>
        <v>23716579.838233989</v>
      </c>
    </row>
    <row r="179" spans="2:26" x14ac:dyDescent="0.35">
      <c r="B179" s="33" t="s">
        <v>313</v>
      </c>
      <c r="F179" s="34">
        <f>+Assumptions!$F$108*'Phase I Pro Forma'!F172*'Phase I Pro Forma'!F169</f>
        <v>0</v>
      </c>
      <c r="G179" s="34">
        <f>+Assumptions!$F$108*'Phase I Pro Forma'!G172*'Phase I Pro Forma'!G169</f>
        <v>0</v>
      </c>
      <c r="H179" s="34">
        <f>+Assumptions!$F$108*'Phase I Pro Forma'!H172*'Phase I Pro Forma'!H169</f>
        <v>0</v>
      </c>
      <c r="I179" s="34">
        <f>+Assumptions!$F$108*'Phase I Pro Forma'!I172*'Phase I Pro Forma'!I169</f>
        <v>1881621.6843966572</v>
      </c>
      <c r="J179" s="34">
        <f>+Assumptions!$F$108*'Phase I Pro Forma'!J172*'Phase I Pro Forma'!J169</f>
        <v>3838508.2361691808</v>
      </c>
      <c r="K179" s="34">
        <f>+Assumptions!$F$108*'Phase I Pro Forma'!K172*'Phase I Pro Forma'!K169</f>
        <v>3915278.4008925646</v>
      </c>
      <c r="L179" s="34">
        <f>+Assumptions!$F$108*'Phase I Pro Forma'!L172*'Phase I Pro Forma'!L169</f>
        <v>3993583.9689104161</v>
      </c>
      <c r="M179" s="34">
        <f>+Assumptions!$F$108*'Phase I Pro Forma'!M172*'Phase I Pro Forma'!M169</f>
        <v>4073455.6482886244</v>
      </c>
      <c r="N179" s="34">
        <f>+Assumptions!$F$108*'Phase I Pro Forma'!N172*'Phase I Pro Forma'!N169</f>
        <v>4154924.7612543972</v>
      </c>
      <c r="O179" s="34">
        <f>+Assumptions!$F$108*'Phase I Pro Forma'!O172*'Phase I Pro Forma'!O169</f>
        <v>4238023.256479485</v>
      </c>
      <c r="P179" s="34">
        <f>+Assumptions!$F$108*'Phase I Pro Forma'!P172*'Phase I Pro Forma'!P169</f>
        <v>4322783.7216090746</v>
      </c>
      <c r="Q179" s="34">
        <f>+Assumptions!$F$108*'Phase I Pro Forma'!Q172*'Phase I Pro Forma'!Q169</f>
        <v>4409239.3960412564</v>
      </c>
      <c r="R179" s="34">
        <f>+Assumptions!$F$108*'Phase I Pro Forma'!R172*'Phase I Pro Forma'!R169</f>
        <v>4497424.1839620816</v>
      </c>
      <c r="S179" s="34">
        <f>+Assumptions!$F$108*'Phase I Pro Forma'!S172*'Phase I Pro Forma'!S169</f>
        <v>4587372.6676413231</v>
      </c>
      <c r="T179" s="34">
        <f>+Assumptions!$F$108*'Phase I Pro Forma'!T172*'Phase I Pro Forma'!T169</f>
        <v>4679120.1209941497</v>
      </c>
      <c r="U179" s="34">
        <f>+Assumptions!$F$108*'Phase I Pro Forma'!U172*'Phase I Pro Forma'!U169</f>
        <v>4772702.5234140335</v>
      </c>
      <c r="V179" s="34">
        <f>+Assumptions!$F$108*'Phase I Pro Forma'!V172*'Phase I Pro Forma'!V169</f>
        <v>4868156.5738823134</v>
      </c>
      <c r="W179" s="34">
        <f>+Assumptions!$F$108*'Phase I Pro Forma'!W172*'Phase I Pro Forma'!W169</f>
        <v>4965519.70535996</v>
      </c>
      <c r="X179" s="34">
        <f>+Assumptions!$F$108*'Phase I Pro Forma'!X172*'Phase I Pro Forma'!X169</f>
        <v>5064830.0994671602</v>
      </c>
      <c r="Y179" s="34">
        <f>+Assumptions!$F$108*'Phase I Pro Forma'!Y172*'Phase I Pro Forma'!Y169</f>
        <v>5166126.701456503</v>
      </c>
      <c r="Z179" s="34">
        <f>+Assumptions!$F$108*'Phase I Pro Forma'!Z172*'Phase I Pro Forma'!Z169</f>
        <v>5269449.2354856329</v>
      </c>
    </row>
    <row r="180" spans="2:26" x14ac:dyDescent="0.35">
      <c r="B180" s="137" t="s">
        <v>316</v>
      </c>
      <c r="C180" s="137"/>
      <c r="D180" s="137"/>
      <c r="E180" s="137"/>
      <c r="F180" s="129">
        <f>+F177+F179</f>
        <v>0</v>
      </c>
      <c r="G180" s="129">
        <f t="shared" ref="G180:Z180" si="350">+G177+G179</f>
        <v>0</v>
      </c>
      <c r="H180" s="129">
        <f t="shared" si="350"/>
        <v>0</v>
      </c>
      <c r="I180" s="129">
        <f t="shared" si="350"/>
        <v>9308578.1289784163</v>
      </c>
      <c r="J180" s="129">
        <f t="shared" si="350"/>
        <v>20634855.887761779</v>
      </c>
      <c r="K180" s="129">
        <f t="shared" si="350"/>
        <v>21537046.565649137</v>
      </c>
      <c r="L180" s="129">
        <f t="shared" si="350"/>
        <v>21967787.496962123</v>
      </c>
      <c r="M180" s="129">
        <f t="shared" si="350"/>
        <v>22407143.246901363</v>
      </c>
      <c r="N180" s="129">
        <f t="shared" si="350"/>
        <v>22855286.111839395</v>
      </c>
      <c r="O180" s="129">
        <f t="shared" si="350"/>
        <v>23312391.834076181</v>
      </c>
      <c r="P180" s="129">
        <f t="shared" si="350"/>
        <v>23778639.670757707</v>
      </c>
      <c r="Q180" s="129">
        <f t="shared" si="350"/>
        <v>24254212.464172859</v>
      </c>
      <c r="R180" s="129">
        <f t="shared" si="350"/>
        <v>24739296.713456314</v>
      </c>
      <c r="S180" s="129">
        <f t="shared" si="350"/>
        <v>25234082.647725437</v>
      </c>
      <c r="T180" s="129">
        <f t="shared" si="350"/>
        <v>25738764.300679956</v>
      </c>
      <c r="U180" s="129">
        <f t="shared" si="350"/>
        <v>26253539.586693555</v>
      </c>
      <c r="V180" s="129">
        <f t="shared" si="350"/>
        <v>26778610.378427424</v>
      </c>
      <c r="W180" s="129">
        <f t="shared" si="350"/>
        <v>27314182.585995972</v>
      </c>
      <c r="X180" s="129">
        <f t="shared" si="350"/>
        <v>27860466.2377159</v>
      </c>
      <c r="Y180" s="129">
        <f t="shared" si="350"/>
        <v>28417675.562470213</v>
      </c>
      <c r="Z180" s="129">
        <f t="shared" si="350"/>
        <v>28986029.073719621</v>
      </c>
    </row>
    <row r="181" spans="2:26" x14ac:dyDescent="0.35">
      <c r="B181" s="33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2:26" x14ac:dyDescent="0.35">
      <c r="B182" s="33" t="s">
        <v>314</v>
      </c>
      <c r="F182" s="42">
        <f>+Assumptions!$F$115*'Phase I Pro Forma'!F172*'Phase I Pro Forma'!F169</f>
        <v>0</v>
      </c>
      <c r="G182" s="42">
        <f>+Assumptions!$F$115*'Phase I Pro Forma'!G172*'Phase I Pro Forma'!G169</f>
        <v>0</v>
      </c>
      <c r="H182" s="42">
        <f>+Assumptions!$F$115*'Phase I Pro Forma'!H172*'Phase I Pro Forma'!H169</f>
        <v>0</v>
      </c>
      <c r="I182" s="42">
        <f>+Assumptions!$F$115*'Phase I Pro Forma'!I172*'Phase I Pro Forma'!I169</f>
        <v>0</v>
      </c>
      <c r="J182" s="42">
        <f>+Assumptions!$F$115*'Phase I Pro Forma'!J172*'Phase I Pro Forma'!J169</f>
        <v>0</v>
      </c>
      <c r="K182" s="42">
        <f>+Assumptions!$F$115*'Phase I Pro Forma'!K172*'Phase I Pro Forma'!K169</f>
        <v>0</v>
      </c>
      <c r="L182" s="42">
        <f>+Assumptions!$F$115*'Phase I Pro Forma'!L172*'Phase I Pro Forma'!L169</f>
        <v>0</v>
      </c>
      <c r="M182" s="42">
        <f>+Assumptions!$F$115*'Phase I Pro Forma'!M172*'Phase I Pro Forma'!M169</f>
        <v>0</v>
      </c>
      <c r="N182" s="42">
        <f>+Assumptions!$F$115*'Phase I Pro Forma'!N172*'Phase I Pro Forma'!N169</f>
        <v>0</v>
      </c>
      <c r="O182" s="42">
        <f>+Assumptions!$F$115*'Phase I Pro Forma'!O172*'Phase I Pro Forma'!O169</f>
        <v>0</v>
      </c>
      <c r="P182" s="42">
        <f>+Assumptions!$F$115*'Phase I Pro Forma'!P172*'Phase I Pro Forma'!P169</f>
        <v>0</v>
      </c>
      <c r="Q182" s="42">
        <f>+Assumptions!$F$115*'Phase I Pro Forma'!Q172*'Phase I Pro Forma'!Q169</f>
        <v>0</v>
      </c>
      <c r="R182" s="42">
        <f>+Assumptions!$F$115*'Phase I Pro Forma'!R172*'Phase I Pro Forma'!R169</f>
        <v>0</v>
      </c>
      <c r="S182" s="42">
        <f>+Assumptions!$F$115*'Phase I Pro Forma'!S172*'Phase I Pro Forma'!S169</f>
        <v>0</v>
      </c>
      <c r="T182" s="42">
        <f>+Assumptions!$F$115*'Phase I Pro Forma'!T172*'Phase I Pro Forma'!T169</f>
        <v>0</v>
      </c>
      <c r="U182" s="42">
        <f>+Assumptions!$F$115*'Phase I Pro Forma'!U172*'Phase I Pro Forma'!U169</f>
        <v>0</v>
      </c>
      <c r="V182" s="42">
        <f>+Assumptions!$F$115*'Phase I Pro Forma'!V172*'Phase I Pro Forma'!V169</f>
        <v>0</v>
      </c>
      <c r="W182" s="42">
        <f>+Assumptions!$F$115*'Phase I Pro Forma'!W172*'Phase I Pro Forma'!W169</f>
        <v>0</v>
      </c>
      <c r="X182" s="42">
        <f>+Assumptions!$F$115*'Phase I Pro Forma'!X172*'Phase I Pro Forma'!X169</f>
        <v>0</v>
      </c>
      <c r="Y182" s="42">
        <f>+Assumptions!$F$115*'Phase I Pro Forma'!Y172*'Phase I Pro Forma'!Y169</f>
        <v>0</v>
      </c>
      <c r="Z182" s="42">
        <f>+Assumptions!$F$115*'Phase I Pro Forma'!Z172*'Phase I Pro Forma'!Z169</f>
        <v>0</v>
      </c>
    </row>
    <row r="183" spans="2:26" s="157" customFormat="1" x14ac:dyDescent="0.35">
      <c r="B183" s="137" t="s">
        <v>782</v>
      </c>
      <c r="C183" s="137"/>
      <c r="D183" s="137"/>
      <c r="E183" s="137"/>
      <c r="F183" s="129">
        <f>+F180+F182</f>
        <v>0</v>
      </c>
      <c r="G183" s="129">
        <f t="shared" ref="G183:Z183" si="351">+G180+G182</f>
        <v>0</v>
      </c>
      <c r="H183" s="129">
        <f t="shared" si="351"/>
        <v>0</v>
      </c>
      <c r="I183" s="129">
        <f t="shared" si="351"/>
        <v>9308578.1289784163</v>
      </c>
      <c r="J183" s="129">
        <f t="shared" si="351"/>
        <v>20634855.887761779</v>
      </c>
      <c r="K183" s="129">
        <f t="shared" si="351"/>
        <v>21537046.565649137</v>
      </c>
      <c r="L183" s="129">
        <f t="shared" si="351"/>
        <v>21967787.496962123</v>
      </c>
      <c r="M183" s="129">
        <f t="shared" si="351"/>
        <v>22407143.246901363</v>
      </c>
      <c r="N183" s="129">
        <f t="shared" si="351"/>
        <v>22855286.111839395</v>
      </c>
      <c r="O183" s="129">
        <f t="shared" si="351"/>
        <v>23312391.834076181</v>
      </c>
      <c r="P183" s="129">
        <f t="shared" si="351"/>
        <v>23778639.670757707</v>
      </c>
      <c r="Q183" s="129">
        <f t="shared" si="351"/>
        <v>24254212.464172859</v>
      </c>
      <c r="R183" s="129">
        <f t="shared" si="351"/>
        <v>24739296.713456314</v>
      </c>
      <c r="S183" s="129">
        <f t="shared" si="351"/>
        <v>25234082.647725437</v>
      </c>
      <c r="T183" s="129">
        <f t="shared" si="351"/>
        <v>25738764.300679956</v>
      </c>
      <c r="U183" s="129">
        <f t="shared" si="351"/>
        <v>26253539.586693555</v>
      </c>
      <c r="V183" s="129">
        <f t="shared" si="351"/>
        <v>26778610.378427424</v>
      </c>
      <c r="W183" s="129">
        <f t="shared" si="351"/>
        <v>27314182.585995972</v>
      </c>
      <c r="X183" s="129">
        <f t="shared" si="351"/>
        <v>27860466.2377159</v>
      </c>
      <c r="Y183" s="129">
        <f t="shared" si="351"/>
        <v>28417675.562470213</v>
      </c>
      <c r="Z183" s="129">
        <f t="shared" si="351"/>
        <v>28986029.073719621</v>
      </c>
    </row>
    <row r="185" spans="2:26" x14ac:dyDescent="0.35">
      <c r="B185" s="155" t="s">
        <v>146</v>
      </c>
    </row>
    <row r="186" spans="2:26" x14ac:dyDescent="0.35">
      <c r="B186" s="64" t="s">
        <v>285</v>
      </c>
      <c r="D186" s="115">
        <f>+Assumptions!M101</f>
        <v>0.25</v>
      </c>
      <c r="E186" s="115"/>
      <c r="F186" s="34">
        <f>F$177*$D186</f>
        <v>0</v>
      </c>
      <c r="G186" s="34">
        <f t="shared" ref="G186:Z186" si="352">G$177*$D186</f>
        <v>0</v>
      </c>
      <c r="H186" s="34">
        <f t="shared" si="352"/>
        <v>0</v>
      </c>
      <c r="I186" s="34">
        <f t="shared" si="352"/>
        <v>1856739.11114544</v>
      </c>
      <c r="J186" s="34">
        <f t="shared" si="352"/>
        <v>4199086.9128981493</v>
      </c>
      <c r="K186" s="34">
        <f t="shared" si="352"/>
        <v>4405442.0411891434</v>
      </c>
      <c r="L186" s="34">
        <f t="shared" si="352"/>
        <v>4493550.882012927</v>
      </c>
      <c r="M186" s="34">
        <f t="shared" si="352"/>
        <v>4583421.8996531842</v>
      </c>
      <c r="N186" s="34">
        <f t="shared" si="352"/>
        <v>4675090.3376462497</v>
      </c>
      <c r="O186" s="34">
        <f t="shared" si="352"/>
        <v>4768592.1443991745</v>
      </c>
      <c r="P186" s="34">
        <f t="shared" si="352"/>
        <v>4863963.9872871581</v>
      </c>
      <c r="Q186" s="34">
        <f t="shared" si="352"/>
        <v>4961243.2670329008</v>
      </c>
      <c r="R186" s="34">
        <f t="shared" si="352"/>
        <v>5060468.1323735584</v>
      </c>
      <c r="S186" s="34">
        <f t="shared" si="352"/>
        <v>5161677.4950210284</v>
      </c>
      <c r="T186" s="34">
        <f t="shared" si="352"/>
        <v>5264911.0449214512</v>
      </c>
      <c r="U186" s="34">
        <f t="shared" si="352"/>
        <v>5370209.2658198802</v>
      </c>
      <c r="V186" s="34">
        <f t="shared" si="352"/>
        <v>5477613.451136278</v>
      </c>
      <c r="W186" s="34">
        <f t="shared" si="352"/>
        <v>5587165.7201590035</v>
      </c>
      <c r="X186" s="34">
        <f t="shared" si="352"/>
        <v>5698909.0345621845</v>
      </c>
      <c r="Y186" s="34">
        <f t="shared" si="352"/>
        <v>5812887.2152534276</v>
      </c>
      <c r="Z186" s="34">
        <f t="shared" si="352"/>
        <v>5929144.9595584972</v>
      </c>
    </row>
    <row r="187" spans="2:26" x14ac:dyDescent="0.35">
      <c r="B187" s="64" t="s">
        <v>312</v>
      </c>
      <c r="D187" s="115">
        <f>+Assumptions!M102</f>
        <v>0.7</v>
      </c>
      <c r="E187" s="115"/>
      <c r="F187" s="42">
        <f>F$179*$D187</f>
        <v>0</v>
      </c>
      <c r="G187" s="42">
        <f t="shared" ref="G187:Z187" si="353">G$179*$D187</f>
        <v>0</v>
      </c>
      <c r="H187" s="42">
        <f t="shared" si="353"/>
        <v>0</v>
      </c>
      <c r="I187" s="42">
        <f t="shared" si="353"/>
        <v>1317135.17907766</v>
      </c>
      <c r="J187" s="42">
        <f t="shared" si="353"/>
        <v>2686955.7653184263</v>
      </c>
      <c r="K187" s="42">
        <f t="shared" si="353"/>
        <v>2740694.8806247949</v>
      </c>
      <c r="L187" s="42">
        <f t="shared" si="353"/>
        <v>2795508.7782372911</v>
      </c>
      <c r="M187" s="42">
        <f t="shared" si="353"/>
        <v>2851418.9538020371</v>
      </c>
      <c r="N187" s="42">
        <f t="shared" si="353"/>
        <v>2908447.3328780779</v>
      </c>
      <c r="O187" s="42">
        <f t="shared" si="353"/>
        <v>2966616.2795356391</v>
      </c>
      <c r="P187" s="42">
        <f t="shared" si="353"/>
        <v>3025948.605126352</v>
      </c>
      <c r="Q187" s="42">
        <f t="shared" si="353"/>
        <v>3086467.5772288791</v>
      </c>
      <c r="R187" s="42">
        <f t="shared" si="353"/>
        <v>3148196.9287734567</v>
      </c>
      <c r="S187" s="42">
        <f t="shared" si="353"/>
        <v>3211160.8673489261</v>
      </c>
      <c r="T187" s="42">
        <f t="shared" si="353"/>
        <v>3275384.0846959045</v>
      </c>
      <c r="U187" s="42">
        <f t="shared" si="353"/>
        <v>3340891.7663898231</v>
      </c>
      <c r="V187" s="42">
        <f t="shared" si="353"/>
        <v>3407709.6017176192</v>
      </c>
      <c r="W187" s="42">
        <f t="shared" si="353"/>
        <v>3475863.7937519718</v>
      </c>
      <c r="X187" s="42">
        <f t="shared" si="353"/>
        <v>3545381.0696270121</v>
      </c>
      <c r="Y187" s="42">
        <f t="shared" si="353"/>
        <v>3616288.6910195518</v>
      </c>
      <c r="Z187" s="42">
        <f t="shared" si="353"/>
        <v>3688614.4648399428</v>
      </c>
    </row>
    <row r="188" spans="2:26" x14ac:dyDescent="0.35">
      <c r="B188" s="155" t="s">
        <v>286</v>
      </c>
    </row>
    <row r="189" spans="2:26" x14ac:dyDescent="0.35">
      <c r="B189" s="64" t="s">
        <v>287</v>
      </c>
      <c r="D189" s="115">
        <f>+Assumptions!M104</f>
        <v>0.08</v>
      </c>
      <c r="E189" s="115"/>
      <c r="F189" s="42">
        <f>F$180*$D189</f>
        <v>0</v>
      </c>
      <c r="G189" s="42">
        <f t="shared" ref="G189:V197" si="354">G$180*$D189</f>
        <v>0</v>
      </c>
      <c r="H189" s="42">
        <f t="shared" si="354"/>
        <v>0</v>
      </c>
      <c r="I189" s="42">
        <f t="shared" si="354"/>
        <v>744686.25031827332</v>
      </c>
      <c r="J189" s="42">
        <f t="shared" si="354"/>
        <v>1650788.4710209423</v>
      </c>
      <c r="K189" s="42">
        <f t="shared" si="354"/>
        <v>1722963.725251931</v>
      </c>
      <c r="L189" s="42">
        <f t="shared" si="354"/>
        <v>1757422.9997569697</v>
      </c>
      <c r="M189" s="42">
        <f t="shared" si="354"/>
        <v>1792571.4597521091</v>
      </c>
      <c r="N189" s="42">
        <f t="shared" si="354"/>
        <v>1828422.8889471516</v>
      </c>
      <c r="O189" s="42">
        <f t="shared" si="354"/>
        <v>1864991.3467260946</v>
      </c>
      <c r="P189" s="42">
        <f t="shared" si="354"/>
        <v>1902291.1736606166</v>
      </c>
      <c r="Q189" s="42">
        <f t="shared" si="354"/>
        <v>1940336.9971338287</v>
      </c>
      <c r="R189" s="42">
        <f t="shared" si="354"/>
        <v>1979143.7370765051</v>
      </c>
      <c r="S189" s="42">
        <f t="shared" si="354"/>
        <v>2018726.6118180349</v>
      </c>
      <c r="T189" s="42">
        <f t="shared" si="354"/>
        <v>2059101.1440543965</v>
      </c>
      <c r="U189" s="42">
        <f t="shared" si="354"/>
        <v>2100283.1669354844</v>
      </c>
      <c r="V189" s="42">
        <f t="shared" si="354"/>
        <v>2142288.830274194</v>
      </c>
      <c r="W189" s="42">
        <f t="shared" ref="W189:Z197" si="355">W$180*$D189</f>
        <v>2185134.6068796776</v>
      </c>
      <c r="X189" s="42">
        <f t="shared" si="355"/>
        <v>2228837.299017272</v>
      </c>
      <c r="Y189" s="42">
        <f t="shared" si="355"/>
        <v>2273414.0449976171</v>
      </c>
      <c r="Z189" s="42">
        <f t="shared" si="355"/>
        <v>2318882.3258975698</v>
      </c>
    </row>
    <row r="190" spans="2:26" x14ac:dyDescent="0.35">
      <c r="B190" s="64" t="s">
        <v>288</v>
      </c>
      <c r="D190" s="115">
        <f>+Assumptions!M105</f>
        <v>0.01</v>
      </c>
      <c r="E190" s="115"/>
      <c r="F190" s="42">
        <f t="shared" ref="F190:F197" si="356">F$180*$D190</f>
        <v>0</v>
      </c>
      <c r="G190" s="42">
        <f t="shared" si="354"/>
        <v>0</v>
      </c>
      <c r="H190" s="42">
        <f t="shared" si="354"/>
        <v>0</v>
      </c>
      <c r="I190" s="42">
        <f t="shared" si="354"/>
        <v>93085.781289784165</v>
      </c>
      <c r="J190" s="42">
        <f t="shared" si="354"/>
        <v>206348.55887761779</v>
      </c>
      <c r="K190" s="42">
        <f t="shared" si="354"/>
        <v>215370.46565649137</v>
      </c>
      <c r="L190" s="42">
        <f t="shared" si="354"/>
        <v>219677.87496962122</v>
      </c>
      <c r="M190" s="42">
        <f t="shared" si="354"/>
        <v>224071.43246901364</v>
      </c>
      <c r="N190" s="42">
        <f t="shared" si="354"/>
        <v>228552.86111839395</v>
      </c>
      <c r="O190" s="42">
        <f t="shared" si="354"/>
        <v>233123.91834076183</v>
      </c>
      <c r="P190" s="42">
        <f t="shared" si="354"/>
        <v>237786.39670757708</v>
      </c>
      <c r="Q190" s="42">
        <f t="shared" si="354"/>
        <v>242542.12464172859</v>
      </c>
      <c r="R190" s="42">
        <f t="shared" si="354"/>
        <v>247392.96713456314</v>
      </c>
      <c r="S190" s="42">
        <f t="shared" si="354"/>
        <v>252340.82647725436</v>
      </c>
      <c r="T190" s="42">
        <f t="shared" si="354"/>
        <v>257387.64300679957</v>
      </c>
      <c r="U190" s="42">
        <f t="shared" si="354"/>
        <v>262535.39586693555</v>
      </c>
      <c r="V190" s="42">
        <f t="shared" si="354"/>
        <v>267786.10378427425</v>
      </c>
      <c r="W190" s="42">
        <f t="shared" si="355"/>
        <v>273141.8258599597</v>
      </c>
      <c r="X190" s="42">
        <f t="shared" si="355"/>
        <v>278604.66237715899</v>
      </c>
      <c r="Y190" s="42">
        <f t="shared" si="355"/>
        <v>284176.75562470214</v>
      </c>
      <c r="Z190" s="42">
        <f t="shared" si="355"/>
        <v>289860.29073719622</v>
      </c>
    </row>
    <row r="191" spans="2:26" x14ac:dyDescent="0.35">
      <c r="B191" s="64" t="s">
        <v>73</v>
      </c>
      <c r="D191" s="115">
        <f>+Assumptions!M106</f>
        <v>6.5000000000000002E-2</v>
      </c>
      <c r="E191" s="115"/>
      <c r="F191" s="42">
        <f t="shared" si="356"/>
        <v>0</v>
      </c>
      <c r="G191" s="42">
        <f t="shared" si="354"/>
        <v>0</v>
      </c>
      <c r="H191" s="42">
        <f t="shared" si="354"/>
        <v>0</v>
      </c>
      <c r="I191" s="42">
        <f t="shared" si="354"/>
        <v>605057.57838359708</v>
      </c>
      <c r="J191" s="42">
        <f t="shared" si="354"/>
        <v>1341265.6327045157</v>
      </c>
      <c r="K191" s="42">
        <f t="shared" si="354"/>
        <v>1399908.026767194</v>
      </c>
      <c r="L191" s="42">
        <f t="shared" si="354"/>
        <v>1427906.187302538</v>
      </c>
      <c r="M191" s="42">
        <f t="shared" si="354"/>
        <v>1456464.3110485887</v>
      </c>
      <c r="N191" s="42">
        <f t="shared" si="354"/>
        <v>1485593.5972695607</v>
      </c>
      <c r="O191" s="42">
        <f t="shared" si="354"/>
        <v>1515305.4692149519</v>
      </c>
      <c r="P191" s="42">
        <f t="shared" si="354"/>
        <v>1545611.5785992511</v>
      </c>
      <c r="Q191" s="42">
        <f t="shared" si="354"/>
        <v>1576523.8101712358</v>
      </c>
      <c r="R191" s="42">
        <f t="shared" si="354"/>
        <v>1608054.2863746604</v>
      </c>
      <c r="S191" s="42">
        <f t="shared" si="354"/>
        <v>1640215.3721021535</v>
      </c>
      <c r="T191" s="42">
        <f t="shared" si="354"/>
        <v>1673019.6795441972</v>
      </c>
      <c r="U191" s="42">
        <f t="shared" si="354"/>
        <v>1706480.0731350812</v>
      </c>
      <c r="V191" s="42">
        <f t="shared" si="354"/>
        <v>1740609.6745977825</v>
      </c>
      <c r="W191" s="42">
        <f t="shared" si="355"/>
        <v>1775421.8680897383</v>
      </c>
      <c r="X191" s="42">
        <f t="shared" si="355"/>
        <v>1810930.3054515335</v>
      </c>
      <c r="Y191" s="42">
        <f t="shared" si="355"/>
        <v>1847148.9115605638</v>
      </c>
      <c r="Z191" s="42">
        <f t="shared" si="355"/>
        <v>1884091.8897917755</v>
      </c>
    </row>
    <row r="192" spans="2:26" x14ac:dyDescent="0.35">
      <c r="B192" s="64" t="s">
        <v>289</v>
      </c>
      <c r="D192" s="115">
        <f>+Assumptions!M107</f>
        <v>0.02</v>
      </c>
      <c r="E192" s="115"/>
      <c r="F192" s="42">
        <f t="shared" si="356"/>
        <v>0</v>
      </c>
      <c r="G192" s="42">
        <f t="shared" si="354"/>
        <v>0</v>
      </c>
      <c r="H192" s="42">
        <f t="shared" si="354"/>
        <v>0</v>
      </c>
      <c r="I192" s="42">
        <f t="shared" si="354"/>
        <v>186171.56257956833</v>
      </c>
      <c r="J192" s="42">
        <f t="shared" si="354"/>
        <v>412697.11775523558</v>
      </c>
      <c r="K192" s="42">
        <f t="shared" si="354"/>
        <v>430740.93131298275</v>
      </c>
      <c r="L192" s="42">
        <f t="shared" si="354"/>
        <v>439355.74993924244</v>
      </c>
      <c r="M192" s="42">
        <f t="shared" si="354"/>
        <v>448142.86493802728</v>
      </c>
      <c r="N192" s="42">
        <f t="shared" si="354"/>
        <v>457105.7222367879</v>
      </c>
      <c r="O192" s="42">
        <f t="shared" si="354"/>
        <v>466247.83668152365</v>
      </c>
      <c r="P192" s="42">
        <f t="shared" si="354"/>
        <v>475572.79341515416</v>
      </c>
      <c r="Q192" s="42">
        <f t="shared" si="354"/>
        <v>485084.24928345717</v>
      </c>
      <c r="R192" s="42">
        <f t="shared" si="354"/>
        <v>494785.93426912627</v>
      </c>
      <c r="S192" s="42">
        <f t="shared" si="354"/>
        <v>504681.65295450873</v>
      </c>
      <c r="T192" s="42">
        <f t="shared" si="354"/>
        <v>514775.28601359914</v>
      </c>
      <c r="U192" s="42">
        <f t="shared" si="354"/>
        <v>525070.7917338711</v>
      </c>
      <c r="V192" s="42">
        <f t="shared" si="354"/>
        <v>535572.2075685485</v>
      </c>
      <c r="W192" s="42">
        <f t="shared" si="355"/>
        <v>546283.65171991941</v>
      </c>
      <c r="X192" s="42">
        <f t="shared" si="355"/>
        <v>557209.32475431799</v>
      </c>
      <c r="Y192" s="42">
        <f t="shared" si="355"/>
        <v>568353.51124940428</v>
      </c>
      <c r="Z192" s="42">
        <f t="shared" si="355"/>
        <v>579720.58147439244</v>
      </c>
    </row>
    <row r="193" spans="2:26" x14ac:dyDescent="0.35">
      <c r="B193" s="64" t="s">
        <v>290</v>
      </c>
      <c r="D193" s="115">
        <f>+Assumptions!M108</f>
        <v>0.03</v>
      </c>
      <c r="E193" s="115"/>
      <c r="F193" s="42">
        <f t="shared" si="356"/>
        <v>0</v>
      </c>
      <c r="G193" s="42">
        <f t="shared" si="354"/>
        <v>0</v>
      </c>
      <c r="H193" s="42">
        <f t="shared" si="354"/>
        <v>0</v>
      </c>
      <c r="I193" s="42">
        <f t="shared" si="354"/>
        <v>279257.34386935248</v>
      </c>
      <c r="J193" s="42">
        <f t="shared" si="354"/>
        <v>619045.67663285334</v>
      </c>
      <c r="K193" s="42">
        <f t="shared" si="354"/>
        <v>646111.39696947404</v>
      </c>
      <c r="L193" s="42">
        <f t="shared" si="354"/>
        <v>659033.62490886368</v>
      </c>
      <c r="M193" s="42">
        <f t="shared" si="354"/>
        <v>672214.29740704084</v>
      </c>
      <c r="N193" s="42">
        <f t="shared" si="354"/>
        <v>685658.58335518185</v>
      </c>
      <c r="O193" s="42">
        <f t="shared" si="354"/>
        <v>699371.75502228539</v>
      </c>
      <c r="P193" s="42">
        <f t="shared" si="354"/>
        <v>713359.19012273115</v>
      </c>
      <c r="Q193" s="42">
        <f t="shared" si="354"/>
        <v>727626.37392518576</v>
      </c>
      <c r="R193" s="42">
        <f t="shared" si="354"/>
        <v>742178.90140368941</v>
      </c>
      <c r="S193" s="42">
        <f t="shared" si="354"/>
        <v>757022.47943176306</v>
      </c>
      <c r="T193" s="42">
        <f t="shared" si="354"/>
        <v>772162.92902039865</v>
      </c>
      <c r="U193" s="42">
        <f t="shared" si="354"/>
        <v>787606.18760080659</v>
      </c>
      <c r="V193" s="42">
        <f t="shared" si="354"/>
        <v>803358.3113528227</v>
      </c>
      <c r="W193" s="42">
        <f t="shared" si="355"/>
        <v>819425.47757987911</v>
      </c>
      <c r="X193" s="42">
        <f t="shared" si="355"/>
        <v>835813.98713147698</v>
      </c>
      <c r="Y193" s="42">
        <f t="shared" si="355"/>
        <v>852530.26687410637</v>
      </c>
      <c r="Z193" s="42">
        <f t="shared" si="355"/>
        <v>869580.87221158855</v>
      </c>
    </row>
    <row r="194" spans="2:26" x14ac:dyDescent="0.35">
      <c r="B194" s="64" t="s">
        <v>291</v>
      </c>
      <c r="D194" s="115">
        <f>+Assumptions!M109</f>
        <v>0.04</v>
      </c>
      <c r="E194" s="115"/>
      <c r="F194" s="42">
        <f t="shared" si="356"/>
        <v>0</v>
      </c>
      <c r="G194" s="42">
        <f t="shared" si="354"/>
        <v>0</v>
      </c>
      <c r="H194" s="42">
        <f t="shared" si="354"/>
        <v>0</v>
      </c>
      <c r="I194" s="42">
        <f t="shared" si="354"/>
        <v>372343.12515913666</v>
      </c>
      <c r="J194" s="42">
        <f t="shared" si="354"/>
        <v>825394.23551047116</v>
      </c>
      <c r="K194" s="42">
        <f t="shared" si="354"/>
        <v>861481.8626259655</v>
      </c>
      <c r="L194" s="42">
        <f t="shared" si="354"/>
        <v>878711.49987848487</v>
      </c>
      <c r="M194" s="42">
        <f t="shared" si="354"/>
        <v>896285.72987605457</v>
      </c>
      <c r="N194" s="42">
        <f t="shared" si="354"/>
        <v>914211.4444735758</v>
      </c>
      <c r="O194" s="42">
        <f t="shared" si="354"/>
        <v>932495.6733630473</v>
      </c>
      <c r="P194" s="42">
        <f t="shared" si="354"/>
        <v>951145.58683030831</v>
      </c>
      <c r="Q194" s="42">
        <f t="shared" si="354"/>
        <v>970168.49856691435</v>
      </c>
      <c r="R194" s="42">
        <f t="shared" si="354"/>
        <v>989571.86853825254</v>
      </c>
      <c r="S194" s="42">
        <f t="shared" si="354"/>
        <v>1009363.3059090175</v>
      </c>
      <c r="T194" s="42">
        <f t="shared" si="354"/>
        <v>1029550.5720271983</v>
      </c>
      <c r="U194" s="42">
        <f t="shared" si="354"/>
        <v>1050141.5834677422</v>
      </c>
      <c r="V194" s="42">
        <f t="shared" si="354"/>
        <v>1071144.415137097</v>
      </c>
      <c r="W194" s="42">
        <f t="shared" si="355"/>
        <v>1092567.3034398388</v>
      </c>
      <c r="X194" s="42">
        <f t="shared" si="355"/>
        <v>1114418.649508636</v>
      </c>
      <c r="Y194" s="42">
        <f t="shared" si="355"/>
        <v>1136707.0224988086</v>
      </c>
      <c r="Z194" s="42">
        <f t="shared" si="355"/>
        <v>1159441.1629487849</v>
      </c>
    </row>
    <row r="195" spans="2:26" x14ac:dyDescent="0.35">
      <c r="B195" s="64" t="s">
        <v>59</v>
      </c>
      <c r="D195" s="115">
        <f>+Assumptions!M110</f>
        <v>0.01</v>
      </c>
      <c r="E195" s="115"/>
      <c r="F195" s="42">
        <f t="shared" si="356"/>
        <v>0</v>
      </c>
      <c r="G195" s="42">
        <f t="shared" si="354"/>
        <v>0</v>
      </c>
      <c r="H195" s="42">
        <f t="shared" si="354"/>
        <v>0</v>
      </c>
      <c r="I195" s="42">
        <f t="shared" si="354"/>
        <v>93085.781289784165</v>
      </c>
      <c r="J195" s="42">
        <f t="shared" si="354"/>
        <v>206348.55887761779</v>
      </c>
      <c r="K195" s="42">
        <f t="shared" si="354"/>
        <v>215370.46565649137</v>
      </c>
      <c r="L195" s="42">
        <f t="shared" si="354"/>
        <v>219677.87496962122</v>
      </c>
      <c r="M195" s="42">
        <f t="shared" si="354"/>
        <v>224071.43246901364</v>
      </c>
      <c r="N195" s="42">
        <f t="shared" si="354"/>
        <v>228552.86111839395</v>
      </c>
      <c r="O195" s="42">
        <f t="shared" si="354"/>
        <v>233123.91834076183</v>
      </c>
      <c r="P195" s="42">
        <f t="shared" si="354"/>
        <v>237786.39670757708</v>
      </c>
      <c r="Q195" s="42">
        <f t="shared" si="354"/>
        <v>242542.12464172859</v>
      </c>
      <c r="R195" s="42">
        <f t="shared" si="354"/>
        <v>247392.96713456314</v>
      </c>
      <c r="S195" s="42">
        <f t="shared" si="354"/>
        <v>252340.82647725436</v>
      </c>
      <c r="T195" s="42">
        <f t="shared" si="354"/>
        <v>257387.64300679957</v>
      </c>
      <c r="U195" s="42">
        <f t="shared" si="354"/>
        <v>262535.39586693555</v>
      </c>
      <c r="V195" s="42">
        <f t="shared" si="354"/>
        <v>267786.10378427425</v>
      </c>
      <c r="W195" s="42">
        <f t="shared" si="355"/>
        <v>273141.8258599597</v>
      </c>
      <c r="X195" s="42">
        <f t="shared" si="355"/>
        <v>278604.66237715899</v>
      </c>
      <c r="Y195" s="42">
        <f t="shared" si="355"/>
        <v>284176.75562470214</v>
      </c>
      <c r="Z195" s="42">
        <f t="shared" si="355"/>
        <v>289860.29073719622</v>
      </c>
    </row>
    <row r="196" spans="2:26" x14ac:dyDescent="0.35">
      <c r="B196" s="169" t="s">
        <v>331</v>
      </c>
      <c r="D196" s="116">
        <f ca="1">+SUM(F196:Z196)/SUM(F180:Z180)</f>
        <v>8.4720973919597903E-2</v>
      </c>
      <c r="E196" s="116"/>
      <c r="F196" s="42">
        <f ca="1">+IFERROR(INDEX('Taxes and TIF'!$M$11:$M$45,MATCH('Phase I Pro Forma'!F$7,'Taxes and TIF'!$B$11:$B$45,0)),0)*'Loan Sizing'!$I$36*F169</f>
        <v>0</v>
      </c>
      <c r="G196" s="42">
        <f ca="1">+IFERROR(INDEX('Taxes and TIF'!$M$11:$M$45,MATCH('Phase I Pro Forma'!G$7,'Taxes and TIF'!$B$11:$B$45,0)),0)*'Loan Sizing'!$I$36*G169</f>
        <v>0</v>
      </c>
      <c r="H196" s="42">
        <f ca="1">+IFERROR(INDEX('Taxes and TIF'!$M$11:$M$45,MATCH('Phase I Pro Forma'!H$7,'Taxes and TIF'!$B$11:$B$45,0)),0)*'Loan Sizing'!$I$36*H169</f>
        <v>0</v>
      </c>
      <c r="I196" s="42">
        <f ca="1">+IFERROR(INDEX('Taxes and TIF'!$M$11:$M$45,MATCH('Phase I Pro Forma'!I$7,'Taxes and TIF'!$B$11:$B$45,0)),0)*'Loan Sizing'!$I$36*I169</f>
        <v>978407.27106633701</v>
      </c>
      <c r="J196" s="42">
        <f ca="1">+IFERROR(INDEX('Taxes and TIF'!$M$11:$M$45,MATCH('Phase I Pro Forma'!J$7,'Taxes and TIF'!$B$11:$B$45,0)),0)*'Loan Sizing'!$I$36*J169</f>
        <v>1995950.8329753275</v>
      </c>
      <c r="K196" s="42">
        <f ca="1">+IFERROR(INDEX('Taxes and TIF'!$M$11:$M$45,MATCH('Phase I Pro Forma'!K$7,'Taxes and TIF'!$B$11:$B$45,0)),0)*'Loan Sizing'!$I$36*K169</f>
        <v>1995950.8329753275</v>
      </c>
      <c r="L196" s="42">
        <f ca="1">+IFERROR(INDEX('Taxes and TIF'!$M$11:$M$45,MATCH('Phase I Pro Forma'!L$7,'Taxes and TIF'!$B$11:$B$45,0)),0)*'Loan Sizing'!$I$36*L169</f>
        <v>1995950.8329753275</v>
      </c>
      <c r="M196" s="42">
        <f ca="1">+IFERROR(INDEX('Taxes and TIF'!$M$11:$M$45,MATCH('Phase I Pro Forma'!M$7,'Taxes and TIF'!$B$11:$B$45,0)),0)*'Loan Sizing'!$I$36*M169</f>
        <v>2035869.8496348343</v>
      </c>
      <c r="N196" s="42">
        <f ca="1">+IFERROR(INDEX('Taxes and TIF'!$M$11:$M$45,MATCH('Phase I Pro Forma'!N$7,'Taxes and TIF'!$B$11:$B$45,0)),0)*'Loan Sizing'!$I$36*N169</f>
        <v>2035869.8496348343</v>
      </c>
      <c r="O196" s="42">
        <f ca="1">+IFERROR(INDEX('Taxes and TIF'!$M$11:$M$45,MATCH('Phase I Pro Forma'!O$7,'Taxes and TIF'!$B$11:$B$45,0)),0)*'Loan Sizing'!$I$36*O169</f>
        <v>2035869.8496348343</v>
      </c>
      <c r="P196" s="42">
        <f ca="1">+IFERROR(INDEX('Taxes and TIF'!$M$11:$M$45,MATCH('Phase I Pro Forma'!P$7,'Taxes and TIF'!$B$11:$B$45,0)),0)*'Loan Sizing'!$I$36*P169</f>
        <v>2076587.246627531</v>
      </c>
      <c r="Q196" s="42">
        <f ca="1">+IFERROR(INDEX('Taxes and TIF'!$M$11:$M$45,MATCH('Phase I Pro Forma'!Q$7,'Taxes and TIF'!$B$11:$B$45,0)),0)*'Loan Sizing'!$I$36*Q169</f>
        <v>2076587.246627531</v>
      </c>
      <c r="R196" s="42">
        <f ca="1">+IFERROR(INDEX('Taxes and TIF'!$M$11:$M$45,MATCH('Phase I Pro Forma'!R$7,'Taxes and TIF'!$B$11:$B$45,0)),0)*'Loan Sizing'!$I$36*R169</f>
        <v>2076587.246627531</v>
      </c>
      <c r="S196" s="42">
        <f ca="1">+IFERROR(INDEX('Taxes and TIF'!$M$11:$M$45,MATCH('Phase I Pro Forma'!S$7,'Taxes and TIF'!$B$11:$B$45,0)),0)*'Loan Sizing'!$I$36*S169</f>
        <v>2118118.991560082</v>
      </c>
      <c r="T196" s="42">
        <f ca="1">+IFERROR(INDEX('Taxes and TIF'!$M$11:$M$45,MATCH('Phase I Pro Forma'!T$7,'Taxes and TIF'!$B$11:$B$45,0)),0)*'Loan Sizing'!$I$36*T169</f>
        <v>2118118.991560082</v>
      </c>
      <c r="U196" s="42">
        <f ca="1">+IFERROR(INDEX('Taxes and TIF'!$M$11:$M$45,MATCH('Phase I Pro Forma'!U$7,'Taxes and TIF'!$B$11:$B$45,0)),0)*'Loan Sizing'!$I$36*U169</f>
        <v>2118118.991560082</v>
      </c>
      <c r="V196" s="42">
        <f ca="1">+IFERROR(INDEX('Taxes and TIF'!$M$11:$M$45,MATCH('Phase I Pro Forma'!V$7,'Taxes and TIF'!$B$11:$B$45,0)),0)*'Loan Sizing'!$I$36*V169</f>
        <v>2160481.3713912833</v>
      </c>
      <c r="W196" s="42">
        <f ca="1">+IFERROR(INDEX('Taxes and TIF'!$M$11:$M$45,MATCH('Phase I Pro Forma'!W$7,'Taxes and TIF'!$B$11:$B$45,0)),0)*'Loan Sizing'!$I$36*W169</f>
        <v>2160481.3713912833</v>
      </c>
      <c r="X196" s="42">
        <f ca="1">+IFERROR(INDEX('Taxes and TIF'!$M$11:$M$45,MATCH('Phase I Pro Forma'!X$7,'Taxes and TIF'!$B$11:$B$45,0)),0)*'Loan Sizing'!$I$36*X169</f>
        <v>2160481.3713912833</v>
      </c>
      <c r="Y196" s="42">
        <f ca="1">+IFERROR(INDEX('Taxes and TIF'!$M$11:$M$45,MATCH('Phase I Pro Forma'!Y$7,'Taxes and TIF'!$B$11:$B$45,0)),0)*'Loan Sizing'!$I$36*Y169</f>
        <v>2203690.9988191086</v>
      </c>
      <c r="Z196" s="42">
        <f ca="1">+IFERROR(INDEX('Taxes and TIF'!$M$11:$M$45,MATCH('Phase I Pro Forma'!Z$7,'Taxes and TIF'!$B$11:$B$45,0)),0)*'Loan Sizing'!$I$36*Z169</f>
        <v>2203690.9988191086</v>
      </c>
    </row>
    <row r="197" spans="2:26" x14ac:dyDescent="0.35">
      <c r="B197" s="64" t="s">
        <v>292</v>
      </c>
      <c r="D197" s="115">
        <f>+Assumptions!M111</f>
        <v>3.5000000000000003E-2</v>
      </c>
      <c r="E197" s="115"/>
      <c r="F197" s="42">
        <f t="shared" si="356"/>
        <v>0</v>
      </c>
      <c r="G197" s="42">
        <f t="shared" si="354"/>
        <v>0</v>
      </c>
      <c r="H197" s="42">
        <f t="shared" si="354"/>
        <v>0</v>
      </c>
      <c r="I197" s="42">
        <f t="shared" si="354"/>
        <v>325800.2345142446</v>
      </c>
      <c r="J197" s="42">
        <f t="shared" si="354"/>
        <v>722219.95607166237</v>
      </c>
      <c r="K197" s="42">
        <f t="shared" si="354"/>
        <v>753796.62979771988</v>
      </c>
      <c r="L197" s="42">
        <f t="shared" si="354"/>
        <v>768872.56239367439</v>
      </c>
      <c r="M197" s="42">
        <f t="shared" si="354"/>
        <v>784250.01364154776</v>
      </c>
      <c r="N197" s="42">
        <f t="shared" si="354"/>
        <v>799935.01391437894</v>
      </c>
      <c r="O197" s="42">
        <f t="shared" si="354"/>
        <v>815933.71419266646</v>
      </c>
      <c r="P197" s="42">
        <f t="shared" si="354"/>
        <v>832252.38847651985</v>
      </c>
      <c r="Q197" s="42">
        <f t="shared" si="354"/>
        <v>848897.43624605017</v>
      </c>
      <c r="R197" s="42">
        <f t="shared" si="354"/>
        <v>865875.38497097103</v>
      </c>
      <c r="S197" s="42">
        <f t="shared" si="354"/>
        <v>883192.89267039043</v>
      </c>
      <c r="T197" s="42">
        <f t="shared" si="354"/>
        <v>900856.75052379852</v>
      </c>
      <c r="U197" s="42">
        <f t="shared" si="354"/>
        <v>918873.88553427451</v>
      </c>
      <c r="V197" s="42">
        <f t="shared" si="354"/>
        <v>937251.36324495997</v>
      </c>
      <c r="W197" s="42">
        <f t="shared" si="355"/>
        <v>955996.39050985908</v>
      </c>
      <c r="X197" s="42">
        <f t="shared" si="355"/>
        <v>975116.31832005654</v>
      </c>
      <c r="Y197" s="42">
        <f t="shared" si="355"/>
        <v>994618.64468645758</v>
      </c>
      <c r="Z197" s="42">
        <f t="shared" si="355"/>
        <v>1014511.0175801868</v>
      </c>
    </row>
    <row r="198" spans="2:26" x14ac:dyDescent="0.35">
      <c r="B198" s="156" t="s">
        <v>183</v>
      </c>
    </row>
    <row r="199" spans="2:26" x14ac:dyDescent="0.35">
      <c r="B199" s="64" t="s">
        <v>9</v>
      </c>
      <c r="D199" s="115">
        <f>+Assumptions!M115</f>
        <v>0.4</v>
      </c>
      <c r="E199" s="115"/>
      <c r="F199" s="42">
        <f t="shared" ref="F199:Z199" si="357">F$182*$D199</f>
        <v>0</v>
      </c>
      <c r="G199" s="42">
        <f t="shared" si="357"/>
        <v>0</v>
      </c>
      <c r="H199" s="42">
        <f t="shared" si="357"/>
        <v>0</v>
      </c>
      <c r="I199" s="42">
        <f t="shared" si="357"/>
        <v>0</v>
      </c>
      <c r="J199" s="42">
        <f t="shared" si="357"/>
        <v>0</v>
      </c>
      <c r="K199" s="42">
        <f t="shared" si="357"/>
        <v>0</v>
      </c>
      <c r="L199" s="42">
        <f t="shared" si="357"/>
        <v>0</v>
      </c>
      <c r="M199" s="42">
        <f t="shared" si="357"/>
        <v>0</v>
      </c>
      <c r="N199" s="42">
        <f t="shared" si="357"/>
        <v>0</v>
      </c>
      <c r="O199" s="42">
        <f t="shared" si="357"/>
        <v>0</v>
      </c>
      <c r="P199" s="42">
        <f t="shared" si="357"/>
        <v>0</v>
      </c>
      <c r="Q199" s="42">
        <f t="shared" si="357"/>
        <v>0</v>
      </c>
      <c r="R199" s="42">
        <f t="shared" si="357"/>
        <v>0</v>
      </c>
      <c r="S199" s="42">
        <f t="shared" si="357"/>
        <v>0</v>
      </c>
      <c r="T199" s="42">
        <f t="shared" si="357"/>
        <v>0</v>
      </c>
      <c r="U199" s="42">
        <f t="shared" si="357"/>
        <v>0</v>
      </c>
      <c r="V199" s="42">
        <f t="shared" si="357"/>
        <v>0</v>
      </c>
      <c r="W199" s="42">
        <f t="shared" si="357"/>
        <v>0</v>
      </c>
      <c r="X199" s="42">
        <f t="shared" si="357"/>
        <v>0</v>
      </c>
      <c r="Y199" s="42">
        <f t="shared" si="357"/>
        <v>0</v>
      </c>
      <c r="Z199" s="42">
        <f t="shared" si="357"/>
        <v>0</v>
      </c>
    </row>
    <row r="200" spans="2:26" x14ac:dyDescent="0.35">
      <c r="B200" s="137" t="s">
        <v>318</v>
      </c>
      <c r="C200" s="137"/>
      <c r="D200" s="137"/>
      <c r="E200" s="137"/>
      <c r="F200" s="129">
        <f t="shared" ref="F200:Z200" ca="1" si="358">+SUM(F186:F199)</f>
        <v>0</v>
      </c>
      <c r="G200" s="129">
        <f t="shared" ca="1" si="358"/>
        <v>0</v>
      </c>
      <c r="H200" s="129">
        <f t="shared" ca="1" si="358"/>
        <v>0</v>
      </c>
      <c r="I200" s="129">
        <f t="shared" ca="1" si="358"/>
        <v>6851769.2186931791</v>
      </c>
      <c r="J200" s="129">
        <f t="shared" ca="1" si="358"/>
        <v>14866101.718642816</v>
      </c>
      <c r="K200" s="129">
        <f t="shared" ca="1" si="358"/>
        <v>15387831.258827517</v>
      </c>
      <c r="L200" s="129">
        <f t="shared" ca="1" si="358"/>
        <v>15655668.867344564</v>
      </c>
      <c r="M200" s="129">
        <f t="shared" ca="1" si="358"/>
        <v>15968782.24469145</v>
      </c>
      <c r="N200" s="129">
        <f t="shared" ca="1" si="358"/>
        <v>16247440.492592586</v>
      </c>
      <c r="O200" s="129">
        <f t="shared" ca="1" si="358"/>
        <v>16531671.905451739</v>
      </c>
      <c r="P200" s="129">
        <f t="shared" ca="1" si="358"/>
        <v>16862305.343560778</v>
      </c>
      <c r="Q200" s="129">
        <f t="shared" ca="1" si="358"/>
        <v>17158019.705499437</v>
      </c>
      <c r="R200" s="129">
        <f t="shared" ca="1" si="358"/>
        <v>17459648.35467688</v>
      </c>
      <c r="S200" s="129">
        <f t="shared" ca="1" si="358"/>
        <v>17808841.321770411</v>
      </c>
      <c r="T200" s="129">
        <f t="shared" ca="1" si="358"/>
        <v>18122655.768374626</v>
      </c>
      <c r="U200" s="129">
        <f t="shared" ca="1" si="358"/>
        <v>18442746.503910918</v>
      </c>
      <c r="V200" s="129">
        <f t="shared" ca="1" si="358"/>
        <v>18811601.433989134</v>
      </c>
      <c r="W200" s="129">
        <f t="shared" ca="1" si="358"/>
        <v>19144623.835241094</v>
      </c>
      <c r="X200" s="129">
        <f t="shared" ca="1" si="358"/>
        <v>19484306.684518091</v>
      </c>
      <c r="Y200" s="129">
        <f t="shared" ca="1" si="358"/>
        <v>19873992.818208449</v>
      </c>
      <c r="Z200" s="129">
        <f t="shared" ca="1" si="358"/>
        <v>20227398.854596239</v>
      </c>
    </row>
    <row r="202" spans="2:26" x14ac:dyDescent="0.35">
      <c r="B202" s="137" t="s">
        <v>317</v>
      </c>
      <c r="C202" s="137"/>
      <c r="D202" s="137"/>
      <c r="E202" s="137"/>
      <c r="F202" s="129">
        <f t="shared" ref="F202:Z202" ca="1" si="359">+F183-F200</f>
        <v>0</v>
      </c>
      <c r="G202" s="129">
        <f t="shared" ca="1" si="359"/>
        <v>0</v>
      </c>
      <c r="H202" s="129">
        <f t="shared" ca="1" si="359"/>
        <v>0</v>
      </c>
      <c r="I202" s="129">
        <f t="shared" ca="1" si="359"/>
        <v>2456808.9102852372</v>
      </c>
      <c r="J202" s="129">
        <f t="shared" ca="1" si="359"/>
        <v>5768754.1691189632</v>
      </c>
      <c r="K202" s="129">
        <f t="shared" ca="1" si="359"/>
        <v>6149215.3068216201</v>
      </c>
      <c r="L202" s="129">
        <f t="shared" ca="1" si="359"/>
        <v>6312118.6296175588</v>
      </c>
      <c r="M202" s="129">
        <f t="shared" ca="1" si="359"/>
        <v>6438361.002209913</v>
      </c>
      <c r="N202" s="129">
        <f t="shared" ca="1" si="359"/>
        <v>6607845.6192468088</v>
      </c>
      <c r="O202" s="129">
        <f t="shared" ca="1" si="359"/>
        <v>6780719.9286244418</v>
      </c>
      <c r="P202" s="129">
        <f t="shared" ca="1" si="359"/>
        <v>6916334.3271969296</v>
      </c>
      <c r="Q202" s="129">
        <f t="shared" ca="1" si="359"/>
        <v>7096192.758673422</v>
      </c>
      <c r="R202" s="129">
        <f t="shared" ca="1" si="359"/>
        <v>7279648.3587794341</v>
      </c>
      <c r="S202" s="129">
        <f t="shared" ca="1" si="359"/>
        <v>7425241.3259550259</v>
      </c>
      <c r="T202" s="129">
        <f t="shared" ca="1" si="359"/>
        <v>7616108.53230533</v>
      </c>
      <c r="U202" s="129">
        <f t="shared" ca="1" si="359"/>
        <v>7810793.0827826373</v>
      </c>
      <c r="V202" s="129">
        <f t="shared" ca="1" si="359"/>
        <v>7967008.9444382899</v>
      </c>
      <c r="W202" s="129">
        <f t="shared" ca="1" si="359"/>
        <v>8169558.7507548779</v>
      </c>
      <c r="X202" s="129">
        <f t="shared" ca="1" si="359"/>
        <v>8376159.5531978086</v>
      </c>
      <c r="Y202" s="129">
        <f t="shared" ca="1" si="359"/>
        <v>8543682.744261764</v>
      </c>
      <c r="Z202" s="129">
        <f t="shared" ca="1" si="359"/>
        <v>8758630.2191233821</v>
      </c>
    </row>
    <row r="204" spans="2:26" x14ac:dyDescent="0.35">
      <c r="B204" s="156" t="s">
        <v>83</v>
      </c>
    </row>
    <row r="205" spans="2:26" x14ac:dyDescent="0.35">
      <c r="B205" s="64" t="s">
        <v>293</v>
      </c>
      <c r="D205" s="115">
        <f>+Assumptions!M113</f>
        <v>0.03</v>
      </c>
      <c r="E205" s="115"/>
      <c r="F205" s="42">
        <f t="shared" ref="F205:Z205" si="360">F$180*$D205</f>
        <v>0</v>
      </c>
      <c r="G205" s="42">
        <f t="shared" si="360"/>
        <v>0</v>
      </c>
      <c r="H205" s="42">
        <f t="shared" si="360"/>
        <v>0</v>
      </c>
      <c r="I205" s="42">
        <f t="shared" si="360"/>
        <v>279257.34386935248</v>
      </c>
      <c r="J205" s="42">
        <f t="shared" si="360"/>
        <v>619045.67663285334</v>
      </c>
      <c r="K205" s="42">
        <f t="shared" si="360"/>
        <v>646111.39696947404</v>
      </c>
      <c r="L205" s="42">
        <f t="shared" si="360"/>
        <v>659033.62490886368</v>
      </c>
      <c r="M205" s="42">
        <f t="shared" si="360"/>
        <v>672214.29740704084</v>
      </c>
      <c r="N205" s="42">
        <f t="shared" si="360"/>
        <v>685658.58335518185</v>
      </c>
      <c r="O205" s="42">
        <f t="shared" si="360"/>
        <v>699371.75502228539</v>
      </c>
      <c r="P205" s="42">
        <f t="shared" si="360"/>
        <v>713359.19012273115</v>
      </c>
      <c r="Q205" s="42">
        <f t="shared" si="360"/>
        <v>727626.37392518576</v>
      </c>
      <c r="R205" s="42">
        <f t="shared" si="360"/>
        <v>742178.90140368941</v>
      </c>
      <c r="S205" s="42">
        <f t="shared" si="360"/>
        <v>757022.47943176306</v>
      </c>
      <c r="T205" s="42">
        <f t="shared" si="360"/>
        <v>772162.92902039865</v>
      </c>
      <c r="U205" s="42">
        <f t="shared" si="360"/>
        <v>787606.18760080659</v>
      </c>
      <c r="V205" s="42">
        <f t="shared" si="360"/>
        <v>803358.3113528227</v>
      </c>
      <c r="W205" s="42">
        <f t="shared" si="360"/>
        <v>819425.47757987911</v>
      </c>
      <c r="X205" s="42">
        <f t="shared" si="360"/>
        <v>835813.98713147698</v>
      </c>
      <c r="Y205" s="42">
        <f t="shared" si="360"/>
        <v>852530.26687410637</v>
      </c>
      <c r="Z205" s="42">
        <f t="shared" si="360"/>
        <v>869580.87221158855</v>
      </c>
    </row>
    <row r="206" spans="2:26" x14ac:dyDescent="0.35">
      <c r="B206" s="138" t="s">
        <v>319</v>
      </c>
      <c r="C206" s="138"/>
      <c r="D206" s="138"/>
      <c r="E206" s="138"/>
      <c r="F206" s="139">
        <f ca="1">+F202-F205</f>
        <v>0</v>
      </c>
      <c r="G206" s="139">
        <f t="shared" ref="G206:Z206" ca="1" si="361">+G202-G205</f>
        <v>0</v>
      </c>
      <c r="H206" s="139">
        <f t="shared" ca="1" si="361"/>
        <v>0</v>
      </c>
      <c r="I206" s="139">
        <f t="shared" ca="1" si="361"/>
        <v>2177551.5664158845</v>
      </c>
      <c r="J206" s="139">
        <f t="shared" ca="1" si="361"/>
        <v>5149708.49248611</v>
      </c>
      <c r="K206" s="139">
        <f t="shared" ca="1" si="361"/>
        <v>5503103.9098521462</v>
      </c>
      <c r="L206" s="139">
        <f t="shared" ca="1" si="361"/>
        <v>5653085.0047086952</v>
      </c>
      <c r="M206" s="139">
        <f t="shared" ca="1" si="361"/>
        <v>5766146.7048028726</v>
      </c>
      <c r="N206" s="139">
        <f t="shared" ca="1" si="361"/>
        <v>5922187.035891627</v>
      </c>
      <c r="O206" s="139">
        <f t="shared" ca="1" si="361"/>
        <v>6081348.1736021563</v>
      </c>
      <c r="P206" s="139">
        <f t="shared" ca="1" si="361"/>
        <v>6202975.1370741986</v>
      </c>
      <c r="Q206" s="139">
        <f t="shared" ca="1" si="361"/>
        <v>6368566.3847482363</v>
      </c>
      <c r="R206" s="139">
        <f t="shared" ca="1" si="361"/>
        <v>6537469.4573757444</v>
      </c>
      <c r="S206" s="139">
        <f t="shared" ca="1" si="361"/>
        <v>6668218.8465232626</v>
      </c>
      <c r="T206" s="139">
        <f t="shared" ca="1" si="361"/>
        <v>6843945.6032849317</v>
      </c>
      <c r="U206" s="139">
        <f t="shared" ca="1" si="361"/>
        <v>7023186.895181831</v>
      </c>
      <c r="V206" s="139">
        <f t="shared" ca="1" si="361"/>
        <v>7163650.6330854669</v>
      </c>
      <c r="W206" s="139">
        <f t="shared" ca="1" si="361"/>
        <v>7350133.2731749993</v>
      </c>
      <c r="X206" s="139">
        <f t="shared" ca="1" si="361"/>
        <v>7540345.5660663312</v>
      </c>
      <c r="Y206" s="139">
        <f t="shared" ca="1" si="361"/>
        <v>7691152.4773876574</v>
      </c>
      <c r="Z206" s="139">
        <f t="shared" ca="1" si="361"/>
        <v>7889049.3469117936</v>
      </c>
    </row>
    <row r="207" spans="2:26" x14ac:dyDescent="0.35">
      <c r="B207" s="143" t="s">
        <v>257</v>
      </c>
      <c r="C207" s="141"/>
      <c r="D207" s="141"/>
      <c r="E207" s="141"/>
      <c r="F207" s="144" t="str">
        <f t="shared" ref="F207:Z207" ca="1" si="362">+IFERROR(F206/F183,"")</f>
        <v/>
      </c>
      <c r="G207" s="144" t="str">
        <f t="shared" ca="1" si="362"/>
        <v/>
      </c>
      <c r="H207" s="144" t="str">
        <f t="shared" ca="1" si="362"/>
        <v/>
      </c>
      <c r="I207" s="144">
        <f t="shared" ca="1" si="362"/>
        <v>0.23392955790283121</v>
      </c>
      <c r="J207" s="144">
        <f t="shared" ca="1" si="362"/>
        <v>0.24956357924168127</v>
      </c>
      <c r="K207" s="144">
        <f t="shared" ca="1" si="362"/>
        <v>0.25551803925750022</v>
      </c>
      <c r="L207" s="144">
        <f t="shared" ca="1" si="362"/>
        <v>0.25733520071106153</v>
      </c>
      <c r="M207" s="144">
        <f t="shared" ca="1" si="362"/>
        <v>0.2573352007110617</v>
      </c>
      <c r="N207" s="144">
        <f t="shared" ca="1" si="362"/>
        <v>0.2591167315478865</v>
      </c>
      <c r="O207" s="144">
        <f t="shared" ca="1" si="362"/>
        <v>0.26086333040751875</v>
      </c>
      <c r="P207" s="144">
        <f t="shared" ca="1" si="362"/>
        <v>0.26086333040751869</v>
      </c>
      <c r="Q207" s="144">
        <f t="shared" ca="1" si="362"/>
        <v>0.26257568223068767</v>
      </c>
      <c r="R207" s="144">
        <f t="shared" ca="1" si="362"/>
        <v>0.26425445852791174</v>
      </c>
      <c r="S207" s="144">
        <f t="shared" ca="1" si="362"/>
        <v>0.26425445852791191</v>
      </c>
      <c r="T207" s="144">
        <f t="shared" ca="1" si="362"/>
        <v>0.26590031764283772</v>
      </c>
      <c r="U207" s="144">
        <f t="shared" ca="1" si="362"/>
        <v>0.267513905010412</v>
      </c>
      <c r="V207" s="144">
        <f t="shared" ca="1" si="362"/>
        <v>0.267513905010412</v>
      </c>
      <c r="W207" s="144">
        <f t="shared" ca="1" si="362"/>
        <v>0.26909585340999459</v>
      </c>
      <c r="X207" s="144">
        <f t="shared" ca="1" si="362"/>
        <v>0.27064678321350716</v>
      </c>
      <c r="Y207" s="144">
        <f t="shared" ca="1" si="362"/>
        <v>0.27064678321350721</v>
      </c>
      <c r="Z207" s="144">
        <f t="shared" ca="1" si="362"/>
        <v>0.27216730262871547</v>
      </c>
    </row>
    <row r="208" spans="2:26" x14ac:dyDescent="0.35">
      <c r="B208" s="143" t="s">
        <v>191</v>
      </c>
      <c r="C208" s="141"/>
      <c r="D208" s="141"/>
      <c r="E208" s="141"/>
      <c r="F208" s="142">
        <f ca="1">+F202/Assumptions!$N$131</f>
        <v>0</v>
      </c>
      <c r="G208" s="142">
        <f ca="1">+G202/Assumptions!$N$131</f>
        <v>0</v>
      </c>
      <c r="H208" s="142">
        <f ca="1">+H202/Assumptions!$N$131</f>
        <v>0</v>
      </c>
      <c r="I208" s="142">
        <f ca="1">+I202/Assumptions!$N$131</f>
        <v>30710111.378565464</v>
      </c>
      <c r="J208" s="142">
        <f ca="1">+J202/Assumptions!$N$131</f>
        <v>72109427.113987043</v>
      </c>
      <c r="K208" s="142">
        <f ca="1">+K202/Assumptions!$N$131</f>
        <v>76865191.335270256</v>
      </c>
      <c r="L208" s="142">
        <f ca="1">+L202/Assumptions!$N$131</f>
        <v>78901482.870219484</v>
      </c>
      <c r="M208" s="142">
        <f ca="1">+M202/Assumptions!$N$131</f>
        <v>80479512.527623907</v>
      </c>
      <c r="N208" s="142">
        <f ca="1">+N202/Assumptions!$N$131</f>
        <v>82598070.240585104</v>
      </c>
      <c r="O208" s="142">
        <f ca="1">+O202/Assumptions!$N$131</f>
        <v>84758999.10780552</v>
      </c>
      <c r="P208" s="142">
        <f ca="1">+P202/Assumptions!$N$131</f>
        <v>86454179.089961618</v>
      </c>
      <c r="Q208" s="142">
        <f ca="1">+Q202/Assumptions!$N$131</f>
        <v>88702409.483417779</v>
      </c>
      <c r="R208" s="142">
        <f ca="1">+R202/Assumptions!$N$131</f>
        <v>90995604.484742925</v>
      </c>
      <c r="S208" s="142">
        <f ca="1">+S202/Assumptions!$N$131</f>
        <v>92815516.574437827</v>
      </c>
      <c r="T208" s="142">
        <f ca="1">+T202/Assumptions!$N$131</f>
        <v>95201356.653816625</v>
      </c>
      <c r="U208" s="142">
        <f ca="1">+U202/Assumptions!$N$131</f>
        <v>97634913.534782961</v>
      </c>
      <c r="V208" s="142">
        <f ca="1">+V202/Assumptions!$N$131</f>
        <v>99587611.805478618</v>
      </c>
      <c r="W208" s="142">
        <f ca="1">+W202/Assumptions!$N$131</f>
        <v>102119484.38443597</v>
      </c>
      <c r="X208" s="142">
        <f ca="1">+X202/Assumptions!$N$131</f>
        <v>104701994.4149726</v>
      </c>
      <c r="Y208" s="142">
        <f ca="1">+Y202/Assumptions!$N$131</f>
        <v>106796034.30327205</v>
      </c>
      <c r="Z208" s="142">
        <f ca="1">+Z202/Assumptions!$N$131</f>
        <v>109482877.73904227</v>
      </c>
    </row>
    <row r="210" spans="2:26" x14ac:dyDescent="0.35">
      <c r="B210" s="148" t="s">
        <v>31</v>
      </c>
      <c r="F210" s="150">
        <f>+Assumptions!$F$22</f>
        <v>44196</v>
      </c>
      <c r="G210" s="150">
        <f>+EOMONTH(F210,12)</f>
        <v>44561</v>
      </c>
      <c r="H210" s="150">
        <f t="shared" ref="H210:Z210" si="363">+EOMONTH(G210,12)</f>
        <v>44926</v>
      </c>
      <c r="I210" s="150">
        <f t="shared" si="363"/>
        <v>45291</v>
      </c>
      <c r="J210" s="150">
        <f t="shared" si="363"/>
        <v>45657</v>
      </c>
      <c r="K210" s="150">
        <f t="shared" si="363"/>
        <v>46022</v>
      </c>
      <c r="L210" s="150">
        <f t="shared" si="363"/>
        <v>46387</v>
      </c>
      <c r="M210" s="150">
        <f t="shared" si="363"/>
        <v>46752</v>
      </c>
      <c r="N210" s="150">
        <f t="shared" si="363"/>
        <v>47118</v>
      </c>
      <c r="O210" s="150">
        <f t="shared" si="363"/>
        <v>47483</v>
      </c>
      <c r="P210" s="150">
        <f t="shared" si="363"/>
        <v>47848</v>
      </c>
      <c r="Q210" s="150">
        <f t="shared" si="363"/>
        <v>48213</v>
      </c>
      <c r="R210" s="150">
        <f t="shared" si="363"/>
        <v>48579</v>
      </c>
      <c r="S210" s="150">
        <f t="shared" si="363"/>
        <v>48944</v>
      </c>
      <c r="T210" s="150">
        <f t="shared" si="363"/>
        <v>49309</v>
      </c>
      <c r="U210" s="150">
        <f t="shared" si="363"/>
        <v>49674</v>
      </c>
      <c r="V210" s="150">
        <f t="shared" si="363"/>
        <v>50040</v>
      </c>
      <c r="W210" s="150">
        <f t="shared" si="363"/>
        <v>50405</v>
      </c>
      <c r="X210" s="150">
        <f t="shared" si="363"/>
        <v>50770</v>
      </c>
      <c r="Y210" s="150">
        <f t="shared" si="363"/>
        <v>51135</v>
      </c>
      <c r="Z210" s="150">
        <f t="shared" si="363"/>
        <v>51501</v>
      </c>
    </row>
    <row r="211" spans="2:26" x14ac:dyDescent="0.35">
      <c r="B211" s="33" t="s">
        <v>337</v>
      </c>
      <c r="F211" s="34">
        <v>0</v>
      </c>
      <c r="G211" s="34">
        <f t="shared" ref="G211:N211" si="364">+F214</f>
        <v>0</v>
      </c>
      <c r="H211" s="34">
        <f t="shared" si="364"/>
        <v>0</v>
      </c>
      <c r="I211" s="34">
        <f t="shared" si="364"/>
        <v>0</v>
      </c>
      <c r="J211" s="34">
        <f t="shared" ca="1" si="364"/>
        <v>61492153.068216205</v>
      </c>
      <c r="K211" s="34">
        <f t="shared" ca="1" si="364"/>
        <v>61492153.068216205</v>
      </c>
      <c r="L211" s="34">
        <f t="shared" ca="1" si="364"/>
        <v>61492153.068216205</v>
      </c>
      <c r="M211" s="34">
        <f t="shared" ca="1" si="364"/>
        <v>61492153.068216205</v>
      </c>
      <c r="N211" s="34">
        <f t="shared" ca="1" si="364"/>
        <v>61492153.068216205</v>
      </c>
      <c r="O211" s="34">
        <f t="shared" ref="O211:Z211" ca="1" si="365">+N214</f>
        <v>61492153.068216205</v>
      </c>
      <c r="P211" s="34">
        <f t="shared" ca="1" si="365"/>
        <v>61492153.068216205</v>
      </c>
      <c r="Q211" s="34">
        <f t="shared" ca="1" si="365"/>
        <v>61492153.068216205</v>
      </c>
      <c r="R211" s="34">
        <f t="shared" ca="1" si="365"/>
        <v>61492153.068216205</v>
      </c>
      <c r="S211" s="34">
        <f t="shared" ca="1" si="365"/>
        <v>61492153.068216205</v>
      </c>
      <c r="T211" s="34">
        <f t="shared" ca="1" si="365"/>
        <v>61492153.068216205</v>
      </c>
      <c r="U211" s="34">
        <f t="shared" ca="1" si="365"/>
        <v>61492153.068216205</v>
      </c>
      <c r="V211" s="34">
        <f t="shared" ca="1" si="365"/>
        <v>61492153.068216205</v>
      </c>
      <c r="W211" s="34">
        <f t="shared" ca="1" si="365"/>
        <v>61492153.068216205</v>
      </c>
      <c r="X211" s="34">
        <f t="shared" ca="1" si="365"/>
        <v>61492153.068216205</v>
      </c>
      <c r="Y211" s="34">
        <f t="shared" ca="1" si="365"/>
        <v>61492153.068216205</v>
      </c>
      <c r="Z211" s="34">
        <f t="shared" ca="1" si="365"/>
        <v>61492153.068216205</v>
      </c>
    </row>
    <row r="212" spans="2:26" x14ac:dyDescent="0.35">
      <c r="B212" s="33" t="s">
        <v>348</v>
      </c>
      <c r="F212" s="151">
        <f>+IF(YEAR(F$140)=YEAR(Assumptions!$F$26),'S&amp;U'!$R$18,0)</f>
        <v>0</v>
      </c>
      <c r="G212" s="151">
        <f>+IF(YEAR(G$140)=YEAR(Assumptions!$F$26),'S&amp;U'!$R$18,0)</f>
        <v>0</v>
      </c>
      <c r="H212" s="151">
        <f>+IF(YEAR(H$140)=YEAR(Assumptions!$F$26),'S&amp;U'!$R$18,0)</f>
        <v>0</v>
      </c>
      <c r="I212" s="151">
        <f ca="1">+IF(YEAR(I$140)=YEAR(Assumptions!$F$26),'S&amp;U'!$R$18,0)</f>
        <v>61492153.068216205</v>
      </c>
      <c r="J212" s="151">
        <f>+IF(YEAR(J$140)=YEAR(Assumptions!$F$26),'S&amp;U'!$R$18,0)</f>
        <v>0</v>
      </c>
      <c r="K212" s="151">
        <f>+IF(YEAR(K$140)=YEAR(Assumptions!$F$26),'S&amp;U'!$R$18,0)</f>
        <v>0</v>
      </c>
      <c r="L212" s="151">
        <f>+IF(YEAR(L$140)=YEAR(Assumptions!$F$26),'S&amp;U'!$R$18,0)</f>
        <v>0</v>
      </c>
      <c r="M212" s="151">
        <f>+IF(YEAR(M$140)=YEAR(Assumptions!$F$26),'S&amp;U'!$R$18,0)</f>
        <v>0</v>
      </c>
      <c r="N212" s="151">
        <f>+IF(YEAR(N$140)=YEAR(Assumptions!$F$26),'S&amp;U'!$R$18,0)</f>
        <v>0</v>
      </c>
      <c r="O212" s="151">
        <f>+IF(YEAR(O$140)=YEAR(Assumptions!$F$26),'S&amp;U'!$R$18,0)</f>
        <v>0</v>
      </c>
      <c r="P212" s="151">
        <f>+IF(YEAR(P$140)=YEAR(Assumptions!$F$26),'S&amp;U'!$R$18,0)</f>
        <v>0</v>
      </c>
      <c r="Q212" s="151">
        <f>+IF(YEAR(Q$140)=YEAR(Assumptions!$F$26),'S&amp;U'!$R$18,0)</f>
        <v>0</v>
      </c>
      <c r="R212" s="151">
        <f>+IF(YEAR(R$140)=YEAR(Assumptions!$F$26),'S&amp;U'!$R$18,0)</f>
        <v>0</v>
      </c>
      <c r="S212" s="151">
        <f>+IF(YEAR(S$140)=YEAR(Assumptions!$F$26),'S&amp;U'!$R$18,0)</f>
        <v>0</v>
      </c>
      <c r="T212" s="151">
        <f>+IF(YEAR(T$140)=YEAR(Assumptions!$F$26),'S&amp;U'!$R$18,0)</f>
        <v>0</v>
      </c>
      <c r="U212" s="151">
        <f>+IF(YEAR(U$140)=YEAR(Assumptions!$F$26),'S&amp;U'!$R$18,0)</f>
        <v>0</v>
      </c>
      <c r="V212" s="151">
        <f>+IF(YEAR(V$140)=YEAR(Assumptions!$F$26),'S&amp;U'!$R$18,0)</f>
        <v>0</v>
      </c>
      <c r="W212" s="151">
        <f>+IF(YEAR(W$140)=YEAR(Assumptions!$F$26),'S&amp;U'!$R$18,0)</f>
        <v>0</v>
      </c>
      <c r="X212" s="151">
        <f>+IF(YEAR(X$140)=YEAR(Assumptions!$F$26),'S&amp;U'!$R$18,0)</f>
        <v>0</v>
      </c>
      <c r="Y212" s="151">
        <f>+IF(YEAR(Y$140)=YEAR(Assumptions!$F$26),'S&amp;U'!$R$18,0)</f>
        <v>0</v>
      </c>
      <c r="Z212" s="151">
        <f>+IF(YEAR(Z$140)=YEAR(Assumptions!$F$26),'S&amp;U'!$R$18,0)</f>
        <v>0</v>
      </c>
    </row>
    <row r="213" spans="2:26" x14ac:dyDescent="0.35">
      <c r="B213" s="33" t="s">
        <v>165</v>
      </c>
      <c r="F213" s="151">
        <v>0</v>
      </c>
      <c r="G213" s="151">
        <v>0</v>
      </c>
      <c r="H213" s="151">
        <v>0</v>
      </c>
      <c r="I213" s="151">
        <v>0</v>
      </c>
      <c r="J213" s="151">
        <v>0</v>
      </c>
      <c r="K213" s="151">
        <v>0</v>
      </c>
      <c r="L213" s="151">
        <v>0</v>
      </c>
      <c r="M213" s="151">
        <v>0</v>
      </c>
      <c r="N213" s="151">
        <v>0</v>
      </c>
      <c r="O213" s="151">
        <v>0</v>
      </c>
      <c r="P213" s="151">
        <v>0</v>
      </c>
      <c r="Q213" s="151">
        <v>0</v>
      </c>
      <c r="R213" s="151">
        <v>0</v>
      </c>
      <c r="S213" s="151">
        <v>0</v>
      </c>
      <c r="T213" s="151">
        <v>0</v>
      </c>
      <c r="U213" s="151">
        <v>0</v>
      </c>
      <c r="V213" s="151">
        <v>0</v>
      </c>
      <c r="W213" s="151">
        <v>0</v>
      </c>
      <c r="X213" s="151">
        <v>0</v>
      </c>
      <c r="Y213" s="151">
        <v>0</v>
      </c>
      <c r="Z213" s="151">
        <v>0</v>
      </c>
    </row>
    <row r="214" spans="2:26" x14ac:dyDescent="0.35">
      <c r="B214" s="33" t="s">
        <v>339</v>
      </c>
      <c r="F214" s="151">
        <f t="shared" ref="F214:N214" si="366">+SUM(F211:F213)</f>
        <v>0</v>
      </c>
      <c r="G214" s="151">
        <f t="shared" si="366"/>
        <v>0</v>
      </c>
      <c r="H214" s="151">
        <f t="shared" si="366"/>
        <v>0</v>
      </c>
      <c r="I214" s="151">
        <f t="shared" ca="1" si="366"/>
        <v>61492153.068216205</v>
      </c>
      <c r="J214" s="151">
        <f t="shared" ca="1" si="366"/>
        <v>61492153.068216205</v>
      </c>
      <c r="K214" s="151">
        <f t="shared" ca="1" si="366"/>
        <v>61492153.068216205</v>
      </c>
      <c r="L214" s="151">
        <f t="shared" ca="1" si="366"/>
        <v>61492153.068216205</v>
      </c>
      <c r="M214" s="151">
        <f t="shared" ca="1" si="366"/>
        <v>61492153.068216205</v>
      </c>
      <c r="N214" s="151">
        <f t="shared" ca="1" si="366"/>
        <v>61492153.068216205</v>
      </c>
      <c r="O214" s="151">
        <f t="shared" ref="O214" ca="1" si="367">+SUM(O211:O213)</f>
        <v>61492153.068216205</v>
      </c>
      <c r="P214" s="151">
        <f t="shared" ref="P214" ca="1" si="368">+SUM(P211:P213)</f>
        <v>61492153.068216205</v>
      </c>
      <c r="Q214" s="151">
        <f t="shared" ref="Q214" ca="1" si="369">+SUM(Q211:Q213)</f>
        <v>61492153.068216205</v>
      </c>
      <c r="R214" s="151">
        <f t="shared" ref="R214" ca="1" si="370">+SUM(R211:R213)</f>
        <v>61492153.068216205</v>
      </c>
      <c r="S214" s="151">
        <f t="shared" ref="S214" ca="1" si="371">+SUM(S211:S213)</f>
        <v>61492153.068216205</v>
      </c>
      <c r="T214" s="151">
        <f t="shared" ref="T214" ca="1" si="372">+SUM(T211:T213)</f>
        <v>61492153.068216205</v>
      </c>
      <c r="U214" s="151">
        <f t="shared" ref="U214" ca="1" si="373">+SUM(U211:U213)</f>
        <v>61492153.068216205</v>
      </c>
      <c r="V214" s="151">
        <f t="shared" ref="V214" ca="1" si="374">+SUM(V211:V213)</f>
        <v>61492153.068216205</v>
      </c>
      <c r="W214" s="151">
        <f t="shared" ref="W214" ca="1" si="375">+SUM(W211:W213)</f>
        <v>61492153.068216205</v>
      </c>
      <c r="X214" s="151">
        <f t="shared" ref="X214" ca="1" si="376">+SUM(X211:X213)</f>
        <v>61492153.068216205</v>
      </c>
      <c r="Y214" s="151">
        <f t="shared" ref="Y214" ca="1" si="377">+SUM(Y211:Y213)</f>
        <v>61492153.068216205</v>
      </c>
      <c r="Z214" s="151">
        <f t="shared" ref="Z214" ca="1" si="378">+SUM(Z211:Z213)</f>
        <v>61492153.068216205</v>
      </c>
    </row>
    <row r="216" spans="2:26" x14ac:dyDescent="0.35">
      <c r="B216" s="41" t="s">
        <v>338</v>
      </c>
      <c r="F216" s="34">
        <f>+F214*Assumptions!$N$157</f>
        <v>0</v>
      </c>
      <c r="G216" s="34">
        <f>+G214*Assumptions!$N$157</f>
        <v>0</v>
      </c>
      <c r="H216" s="34">
        <f>+H214*Assumptions!$N$157</f>
        <v>0</v>
      </c>
      <c r="I216" s="34">
        <f ca="1">+I214*Assumptions!$N$157</f>
        <v>3689529.184092972</v>
      </c>
      <c r="J216" s="34">
        <f ca="1">+J214*Assumptions!$N$157</f>
        <v>3689529.184092972</v>
      </c>
      <c r="K216" s="34">
        <f ca="1">+K214*Assumptions!$N$157</f>
        <v>3689529.184092972</v>
      </c>
      <c r="L216" s="34">
        <f ca="1">+L214*Assumptions!$N$157</f>
        <v>3689529.184092972</v>
      </c>
      <c r="M216" s="34">
        <f ca="1">+M214*Assumptions!$N$157</f>
        <v>3689529.184092972</v>
      </c>
      <c r="N216" s="34">
        <f ca="1">+N214*Assumptions!$N$157</f>
        <v>3689529.184092972</v>
      </c>
      <c r="O216" s="34">
        <f ca="1">+O214*Assumptions!$N$157</f>
        <v>3689529.184092972</v>
      </c>
      <c r="P216" s="34">
        <f ca="1">+P214*Assumptions!$N$157</f>
        <v>3689529.184092972</v>
      </c>
      <c r="Q216" s="34">
        <f ca="1">+Q214*Assumptions!$N$157</f>
        <v>3689529.184092972</v>
      </c>
      <c r="R216" s="34">
        <f ca="1">+R214*Assumptions!$N$157</f>
        <v>3689529.184092972</v>
      </c>
      <c r="S216" s="34">
        <f ca="1">+S214*Assumptions!$N$157</f>
        <v>3689529.184092972</v>
      </c>
      <c r="T216" s="34">
        <f ca="1">+T214*Assumptions!$N$157</f>
        <v>3689529.184092972</v>
      </c>
      <c r="U216" s="34">
        <f ca="1">+U214*Assumptions!$N$157</f>
        <v>3689529.184092972</v>
      </c>
      <c r="V216" s="34">
        <f ca="1">+V214*Assumptions!$N$157</f>
        <v>3689529.184092972</v>
      </c>
      <c r="W216" s="34">
        <f ca="1">+W214*Assumptions!$N$157</f>
        <v>3689529.184092972</v>
      </c>
      <c r="X216" s="34">
        <f ca="1">+X214*Assumptions!$N$157</f>
        <v>3689529.184092972</v>
      </c>
      <c r="Y216" s="34">
        <f ca="1">+Y214*Assumptions!$N$157</f>
        <v>3689529.184092972</v>
      </c>
      <c r="Z216" s="34">
        <f ca="1">+Z214*Assumptions!$N$157</f>
        <v>3689529.184092972</v>
      </c>
    </row>
    <row r="217" spans="2:26" x14ac:dyDescent="0.35">
      <c r="B217" s="137" t="s">
        <v>347</v>
      </c>
      <c r="C217" s="137"/>
      <c r="D217" s="137"/>
      <c r="E217" s="137"/>
      <c r="F217" s="129">
        <f t="shared" ref="F217" si="379">+F216-F213</f>
        <v>0</v>
      </c>
      <c r="G217" s="129">
        <f t="shared" ref="G217" si="380">+G216-G213</f>
        <v>0</v>
      </c>
      <c r="H217" s="129">
        <f t="shared" ref="H217" si="381">+H216-H213</f>
        <v>0</v>
      </c>
      <c r="I217" s="129">
        <f t="shared" ref="I217" ca="1" si="382">+I216-I213</f>
        <v>3689529.184092972</v>
      </c>
      <c r="J217" s="129">
        <f t="shared" ref="J217" ca="1" si="383">+J216-J213</f>
        <v>3689529.184092972</v>
      </c>
      <c r="K217" s="129">
        <f t="shared" ref="K217" ca="1" si="384">+K216-K213</f>
        <v>3689529.184092972</v>
      </c>
      <c r="L217" s="129">
        <f ca="1">+L216-L213</f>
        <v>3689529.184092972</v>
      </c>
      <c r="M217" s="129">
        <f t="shared" ref="M217" ca="1" si="385">+M216-M213</f>
        <v>3689529.184092972</v>
      </c>
      <c r="N217" s="129">
        <f t="shared" ref="N217" ca="1" si="386">+N216-N213</f>
        <v>3689529.184092972</v>
      </c>
      <c r="O217" s="129">
        <f t="shared" ref="O217" ca="1" si="387">+O216-O213</f>
        <v>3689529.184092972</v>
      </c>
      <c r="P217" s="129">
        <f t="shared" ref="P217" ca="1" si="388">+P216-P213</f>
        <v>3689529.184092972</v>
      </c>
      <c r="Q217" s="129">
        <f t="shared" ref="Q217" ca="1" si="389">+Q216-Q213</f>
        <v>3689529.184092972</v>
      </c>
      <c r="R217" s="129">
        <f t="shared" ref="R217" ca="1" si="390">+R216-R213</f>
        <v>3689529.184092972</v>
      </c>
      <c r="S217" s="129">
        <f t="shared" ref="S217" ca="1" si="391">+S216-S213</f>
        <v>3689529.184092972</v>
      </c>
      <c r="T217" s="129">
        <f t="shared" ref="T217" ca="1" si="392">+T216-T213</f>
        <v>3689529.184092972</v>
      </c>
      <c r="U217" s="129">
        <f t="shared" ref="U217" ca="1" si="393">+U216-U213</f>
        <v>3689529.184092972</v>
      </c>
      <c r="V217" s="129">
        <f t="shared" ref="V217" ca="1" si="394">+V216-V213</f>
        <v>3689529.184092972</v>
      </c>
      <c r="W217" s="129">
        <f t="shared" ref="W217" ca="1" si="395">+W216-W213</f>
        <v>3689529.184092972</v>
      </c>
      <c r="X217" s="129">
        <f t="shared" ref="X217" ca="1" si="396">+X216-X213</f>
        <v>3689529.184092972</v>
      </c>
      <c r="Y217" s="129">
        <f t="shared" ref="Y217" ca="1" si="397">+Y216-Y213</f>
        <v>3689529.184092972</v>
      </c>
      <c r="Z217" s="129">
        <f t="shared" ref="Z217" ca="1" si="398">+Z216-Z213</f>
        <v>3689529.184092972</v>
      </c>
    </row>
    <row r="218" spans="2:26" x14ac:dyDescent="0.35">
      <c r="B218" s="146" t="s">
        <v>184</v>
      </c>
      <c r="F218" s="180" t="str">
        <f t="shared" ref="F218:J218" ca="1" si="399">+IFERROR(F206/F217,"")</f>
        <v/>
      </c>
      <c r="G218" s="180" t="str">
        <f t="shared" ca="1" si="399"/>
        <v/>
      </c>
      <c r="H218" s="180" t="str">
        <f t="shared" ca="1" si="399"/>
        <v/>
      </c>
      <c r="I218" s="180">
        <f t="shared" ca="1" si="399"/>
        <v>0.59019768045315257</v>
      </c>
      <c r="J218" s="180">
        <f t="shared" ca="1" si="399"/>
        <v>1.3957630460516621</v>
      </c>
      <c r="K218" s="180">
        <f ca="1">+IFERROR(K206/K217,"")</f>
        <v>1.491546383093598</v>
      </c>
      <c r="L218" s="180">
        <f t="shared" ref="L218:Z218" ca="1" si="400">+IFERROR(L206/L217,"")</f>
        <v>1.5321968529430241</v>
      </c>
      <c r="M218" s="180">
        <f t="shared" ca="1" si="400"/>
        <v>1.5628407900018855</v>
      </c>
      <c r="N218" s="180">
        <f t="shared" ca="1" si="400"/>
        <v>1.6051335388332286</v>
      </c>
      <c r="O218" s="180">
        <f t="shared" ca="1" si="400"/>
        <v>1.6482721426411986</v>
      </c>
      <c r="P218" s="180">
        <f t="shared" ca="1" si="400"/>
        <v>1.6812375854940225</v>
      </c>
      <c r="Q218" s="180">
        <f t="shared" ca="1" si="400"/>
        <v>1.726118988895835</v>
      </c>
      <c r="R218" s="180">
        <f t="shared" ca="1" si="400"/>
        <v>1.7718980203656813</v>
      </c>
      <c r="S218" s="180">
        <f t="shared" ca="1" si="400"/>
        <v>1.8073359807729958</v>
      </c>
      <c r="T218" s="180">
        <f t="shared" ca="1" si="400"/>
        <v>1.8549644851142264</v>
      </c>
      <c r="U218" s="180">
        <f t="shared" ca="1" si="400"/>
        <v>1.9035455595422808</v>
      </c>
      <c r="V218" s="180">
        <f t="shared" ca="1" si="400"/>
        <v>1.9416164707331263</v>
      </c>
      <c r="W218" s="180">
        <f t="shared" ca="1" si="400"/>
        <v>1.9921602205680735</v>
      </c>
      <c r="X218" s="180">
        <f t="shared" ca="1" si="400"/>
        <v>2.0437148453997223</v>
      </c>
      <c r="Y218" s="180">
        <f t="shared" ca="1" si="400"/>
        <v>2.0845891423077165</v>
      </c>
      <c r="Z218" s="180">
        <f t="shared" ca="1" si="400"/>
        <v>2.1382265739825623</v>
      </c>
    </row>
    <row r="220" spans="2:26" x14ac:dyDescent="0.35">
      <c r="B220" s="41" t="s">
        <v>159</v>
      </c>
      <c r="F220" s="34">
        <f>+F212*Assumptions!$N$158</f>
        <v>0</v>
      </c>
      <c r="G220" s="34">
        <f>+G212*Assumptions!$N$158</f>
        <v>0</v>
      </c>
      <c r="H220" s="34">
        <f>+H212*Assumptions!$N$158</f>
        <v>0</v>
      </c>
      <c r="I220" s="34">
        <f ca="1">+I212*Assumptions!$N$158</f>
        <v>614921.53068216203</v>
      </c>
      <c r="J220" s="34">
        <f>+J212*Assumptions!$N$158</f>
        <v>0</v>
      </c>
      <c r="K220" s="34">
        <f>+K212*Assumptions!$N$158</f>
        <v>0</v>
      </c>
      <c r="L220" s="34">
        <f>+L212*Assumptions!$N$158</f>
        <v>0</v>
      </c>
      <c r="M220" s="34">
        <f>+M212*Assumptions!$N$158</f>
        <v>0</v>
      </c>
      <c r="N220" s="34">
        <f>+N212*Assumptions!$N$158</f>
        <v>0</v>
      </c>
      <c r="O220" s="34">
        <f>+O212*Assumptions!$N$158</f>
        <v>0</v>
      </c>
      <c r="P220" s="34">
        <f>+P212*Assumptions!$N$158</f>
        <v>0</v>
      </c>
      <c r="Q220" s="34">
        <f>+Q212*Assumptions!$N$158</f>
        <v>0</v>
      </c>
      <c r="R220" s="34">
        <f>+R212*Assumptions!$N$158</f>
        <v>0</v>
      </c>
      <c r="S220" s="34">
        <f>+S212*Assumptions!$N$158</f>
        <v>0</v>
      </c>
      <c r="T220" s="34">
        <f>+T212*Assumptions!$N$158</f>
        <v>0</v>
      </c>
      <c r="U220" s="34">
        <f>+U212*Assumptions!$N$158</f>
        <v>0</v>
      </c>
      <c r="V220" s="34">
        <f>+V212*Assumptions!$N$158</f>
        <v>0</v>
      </c>
      <c r="W220" s="34">
        <f>+W212*Assumptions!$N$158</f>
        <v>0</v>
      </c>
      <c r="X220" s="34">
        <f>+X212*Assumptions!$N$158</f>
        <v>0</v>
      </c>
      <c r="Y220" s="34">
        <f>+Y212*Assumptions!$N$158</f>
        <v>0</v>
      </c>
      <c r="Z220" s="34">
        <f>+Z212*Assumptions!$N$158</f>
        <v>0</v>
      </c>
    </row>
    <row r="222" spans="2:26" x14ac:dyDescent="0.35">
      <c r="B222" s="137" t="s">
        <v>340</v>
      </c>
      <c r="C222" s="137"/>
      <c r="D222" s="137"/>
      <c r="E222" s="137"/>
      <c r="F222" s="129">
        <f ca="1">+F206-F217-F220</f>
        <v>0</v>
      </c>
      <c r="G222" s="129">
        <f t="shared" ref="G222:Z222" ca="1" si="401">+G206-G217-G220</f>
        <v>0</v>
      </c>
      <c r="H222" s="129">
        <f t="shared" ca="1" si="401"/>
        <v>0</v>
      </c>
      <c r="I222" s="129">
        <f t="shared" ca="1" si="401"/>
        <v>-2126899.1483592493</v>
      </c>
      <c r="J222" s="129">
        <f t="shared" ca="1" si="401"/>
        <v>1460179.308393138</v>
      </c>
      <c r="K222" s="129">
        <f t="shared" ca="1" si="401"/>
        <v>1813574.7257591742</v>
      </c>
      <c r="L222" s="129">
        <f t="shared" ca="1" si="401"/>
        <v>1963555.8206157233</v>
      </c>
      <c r="M222" s="129">
        <f t="shared" ca="1" si="401"/>
        <v>2076617.5207099007</v>
      </c>
      <c r="N222" s="129">
        <f t="shared" ca="1" si="401"/>
        <v>2232657.851798655</v>
      </c>
      <c r="O222" s="129">
        <f t="shared" ca="1" si="401"/>
        <v>2391818.9895091844</v>
      </c>
      <c r="P222" s="129">
        <f t="shared" ca="1" si="401"/>
        <v>2513445.9529812266</v>
      </c>
      <c r="Q222" s="129">
        <f t="shared" ca="1" si="401"/>
        <v>2679037.2006552643</v>
      </c>
      <c r="R222" s="129">
        <f t="shared" ca="1" si="401"/>
        <v>2847940.2732827724</v>
      </c>
      <c r="S222" s="129">
        <f t="shared" ca="1" si="401"/>
        <v>2978689.6624302906</v>
      </c>
      <c r="T222" s="129">
        <f t="shared" ca="1" si="401"/>
        <v>3154416.4191919598</v>
      </c>
      <c r="U222" s="129">
        <f t="shared" ca="1" si="401"/>
        <v>3333657.711088859</v>
      </c>
      <c r="V222" s="129">
        <f t="shared" ca="1" si="401"/>
        <v>3474121.448992495</v>
      </c>
      <c r="W222" s="129">
        <f t="shared" ca="1" si="401"/>
        <v>3660604.0890820273</v>
      </c>
      <c r="X222" s="129">
        <f t="shared" ca="1" si="401"/>
        <v>3850816.3819733593</v>
      </c>
      <c r="Y222" s="129">
        <f t="shared" ca="1" si="401"/>
        <v>4001623.2932946854</v>
      </c>
      <c r="Z222" s="129">
        <f t="shared" ca="1" si="401"/>
        <v>4199520.1628188211</v>
      </c>
    </row>
    <row r="224" spans="2:26" x14ac:dyDescent="0.35">
      <c r="B224" s="148" t="s">
        <v>341</v>
      </c>
    </row>
    <row r="225" spans="2:26" x14ac:dyDescent="0.35">
      <c r="B225" s="33" t="s">
        <v>342</v>
      </c>
      <c r="F225" s="34">
        <f>+IF(YEAR(F$140)=YEAR(Assumptions!$F$30),F208,0)</f>
        <v>0</v>
      </c>
      <c r="G225" s="34">
        <f>+IF(YEAR(G$140)=YEAR(Assumptions!$F$30),G208,0)</f>
        <v>0</v>
      </c>
      <c r="H225" s="34">
        <f>+IF(YEAR(H$140)=YEAR(Assumptions!$F$30),H208,0)</f>
        <v>0</v>
      </c>
      <c r="I225" s="34">
        <f>+IF(YEAR(I$140)=YEAR(Assumptions!$F$30),I208,0)</f>
        <v>0</v>
      </c>
      <c r="J225" s="34">
        <f>+IF(YEAR(J$140)=YEAR(Assumptions!$F$30),J208,0)</f>
        <v>0</v>
      </c>
      <c r="K225" s="34">
        <f>+IF(YEAR(K$140)=YEAR(Assumptions!$F$30),K208,0)</f>
        <v>0</v>
      </c>
      <c r="L225" s="34">
        <f>+IF(YEAR(L$140)=YEAR(Assumptions!$F$30),L208,0)</f>
        <v>0</v>
      </c>
      <c r="M225" s="34">
        <f>+IF(YEAR(M$140)=YEAR(Assumptions!$F$30),M208,0)</f>
        <v>0</v>
      </c>
      <c r="N225" s="34">
        <f>+IF(YEAR(N$140)=YEAR(Assumptions!$F$30),N208,0)</f>
        <v>0</v>
      </c>
      <c r="O225" s="34">
        <f>+IF(YEAR(O$140)=YEAR(Assumptions!$F$30),O208,0)</f>
        <v>0</v>
      </c>
      <c r="P225" s="34">
        <f ca="1">+IF(YEAR(P$140)=YEAR(Assumptions!$F$30),P208,0)</f>
        <v>86454179.089961618</v>
      </c>
      <c r="Q225" s="34">
        <f>+IF(YEAR(Q$140)=YEAR(Assumptions!$F$30),Q208,0)</f>
        <v>0</v>
      </c>
      <c r="R225" s="34">
        <f>+IF(YEAR(R$140)=YEAR(Assumptions!$F$30),R208,0)</f>
        <v>0</v>
      </c>
      <c r="S225" s="34">
        <f>+IF(YEAR(S$140)=YEAR(Assumptions!$F$30),S208,0)</f>
        <v>0</v>
      </c>
      <c r="T225" s="34">
        <f>+IF(YEAR(T$140)=YEAR(Assumptions!$F$30),T208,0)</f>
        <v>0</v>
      </c>
      <c r="U225" s="34">
        <f>+IF(YEAR(U$140)=YEAR(Assumptions!$F$30),U208,0)</f>
        <v>0</v>
      </c>
      <c r="V225" s="34">
        <f>+IF(YEAR(V$140)=YEAR(Assumptions!$F$30),V208,0)</f>
        <v>0</v>
      </c>
      <c r="W225" s="34">
        <f>+IF(YEAR(W$140)=YEAR(Assumptions!$F$30),W208,0)</f>
        <v>0</v>
      </c>
      <c r="X225" s="34">
        <f>+IF(YEAR(X$140)=YEAR(Assumptions!$F$30),X208,0)</f>
        <v>0</v>
      </c>
      <c r="Y225" s="34">
        <f>+IF(YEAR(Y$140)=YEAR(Assumptions!$F$30),Y208,0)</f>
        <v>0</v>
      </c>
      <c r="Z225" s="34">
        <f>+IF(YEAR(Z$140)=YEAR(Assumptions!$F$30),Z208,0)</f>
        <v>0</v>
      </c>
    </row>
    <row r="226" spans="2:26" x14ac:dyDescent="0.35">
      <c r="B226" s="33" t="s">
        <v>343</v>
      </c>
      <c r="F226" s="151">
        <f>-F225*Assumptions!$N$136</f>
        <v>0</v>
      </c>
      <c r="G226" s="151">
        <f>-G225*Assumptions!$N$136</f>
        <v>0</v>
      </c>
      <c r="H226" s="151">
        <f>-H225*Assumptions!$N$136</f>
        <v>0</v>
      </c>
      <c r="I226" s="151">
        <f>-I225*Assumptions!$N$136</f>
        <v>0</v>
      </c>
      <c r="J226" s="151">
        <f>-J225*Assumptions!$N$136</f>
        <v>0</v>
      </c>
      <c r="K226" s="151">
        <f>-K225*Assumptions!$N$136</f>
        <v>0</v>
      </c>
      <c r="L226" s="151">
        <f>-L225*Assumptions!$N$136</f>
        <v>0</v>
      </c>
      <c r="M226" s="151">
        <f>-M225*Assumptions!$N$136</f>
        <v>0</v>
      </c>
      <c r="N226" s="151">
        <f>-N225*Assumptions!$N$136</f>
        <v>0</v>
      </c>
      <c r="O226" s="151">
        <f>-O225*Assumptions!$N$136</f>
        <v>0</v>
      </c>
      <c r="P226" s="151">
        <f ca="1">-P225*Assumptions!$N$136</f>
        <v>-1729083.5817992324</v>
      </c>
      <c r="Q226" s="151">
        <f>-Q225*Assumptions!$N$136</f>
        <v>0</v>
      </c>
      <c r="R226" s="151">
        <f>-R225*Assumptions!$N$136</f>
        <v>0</v>
      </c>
      <c r="S226" s="151">
        <f>-S225*Assumptions!$N$136</f>
        <v>0</v>
      </c>
      <c r="T226" s="151">
        <f>-T225*Assumptions!$N$136</f>
        <v>0</v>
      </c>
      <c r="U226" s="151">
        <f>-U225*Assumptions!$N$136</f>
        <v>0</v>
      </c>
      <c r="V226" s="151">
        <f>-V225*Assumptions!$N$136</f>
        <v>0</v>
      </c>
      <c r="W226" s="151">
        <f>-W225*Assumptions!$N$136</f>
        <v>0</v>
      </c>
      <c r="X226" s="151">
        <f>-X225*Assumptions!$N$136</f>
        <v>0</v>
      </c>
      <c r="Y226" s="151">
        <f>-Y225*Assumptions!$N$136</f>
        <v>0</v>
      </c>
      <c r="Z226" s="151">
        <f>-Z225*Assumptions!$N$136</f>
        <v>0</v>
      </c>
    </row>
    <row r="227" spans="2:26" x14ac:dyDescent="0.35">
      <c r="B227" s="33" t="s">
        <v>344</v>
      </c>
      <c r="F227" s="151">
        <f>+IF(YEAR(F$140)=YEAR(Assumptions!$F$30),-F214,0)</f>
        <v>0</v>
      </c>
      <c r="G227" s="151">
        <f>+IF(YEAR(G$140)=YEAR(Assumptions!$F$30),-G214,0)</f>
        <v>0</v>
      </c>
      <c r="H227" s="151">
        <f>+IF(YEAR(H$140)=YEAR(Assumptions!$F$30),-H214,0)</f>
        <v>0</v>
      </c>
      <c r="I227" s="151">
        <f>+IF(YEAR(I$140)=YEAR(Assumptions!$F$30),-I214,0)</f>
        <v>0</v>
      </c>
      <c r="J227" s="151">
        <f>+IF(YEAR(J$140)=YEAR(Assumptions!$F$30),-J214,0)</f>
        <v>0</v>
      </c>
      <c r="K227" s="151">
        <f>+IF(YEAR(K$140)=YEAR(Assumptions!$F$30),-K214,0)</f>
        <v>0</v>
      </c>
      <c r="L227" s="151">
        <f>+IF(YEAR(L$140)=YEAR(Assumptions!$F$30),-L214,0)</f>
        <v>0</v>
      </c>
      <c r="M227" s="151">
        <f>+IF(YEAR(M$140)=YEAR(Assumptions!$F$30),-M214,0)</f>
        <v>0</v>
      </c>
      <c r="N227" s="151">
        <f>+IF(YEAR(N$140)=YEAR(Assumptions!$F$30),-N214,0)</f>
        <v>0</v>
      </c>
      <c r="O227" s="151">
        <f>+IF(YEAR(O$140)=YEAR(Assumptions!$F$30),-O214,0)</f>
        <v>0</v>
      </c>
      <c r="P227" s="151">
        <f ca="1">+IF(YEAR(P$140)=YEAR(Assumptions!$F$30),-P214,0)</f>
        <v>-61492153.068216205</v>
      </c>
      <c r="Q227" s="151">
        <f>+IF(YEAR(Q$140)=YEAR(Assumptions!$F$30),-Q214,0)</f>
        <v>0</v>
      </c>
      <c r="R227" s="151">
        <f>+IF(YEAR(R$140)=YEAR(Assumptions!$F$30),-R214,0)</f>
        <v>0</v>
      </c>
      <c r="S227" s="151">
        <f>+IF(YEAR(S$140)=YEAR(Assumptions!$F$30),-S214,0)</f>
        <v>0</v>
      </c>
      <c r="T227" s="151">
        <f>+IF(YEAR(T$140)=YEAR(Assumptions!$F$30),-T214,0)</f>
        <v>0</v>
      </c>
      <c r="U227" s="151">
        <f>+IF(YEAR(U$140)=YEAR(Assumptions!$F$30),-U214,0)</f>
        <v>0</v>
      </c>
      <c r="V227" s="151">
        <f>+IF(YEAR(V$140)=YEAR(Assumptions!$F$30),-V214,0)</f>
        <v>0</v>
      </c>
      <c r="W227" s="151">
        <f>+IF(YEAR(W$140)=YEAR(Assumptions!$F$30),-W214,0)</f>
        <v>0</v>
      </c>
      <c r="X227" s="151">
        <f>+IF(YEAR(X$140)=YEAR(Assumptions!$F$30),-X214,0)</f>
        <v>0</v>
      </c>
      <c r="Y227" s="151">
        <f>+IF(YEAR(Y$140)=YEAR(Assumptions!$F$30),-Y214,0)</f>
        <v>0</v>
      </c>
      <c r="Z227" s="151">
        <f>+IF(YEAR(Z$140)=YEAR(Assumptions!$F$30),-Z214,0)</f>
        <v>0</v>
      </c>
    </row>
    <row r="228" spans="2:26" x14ac:dyDescent="0.35">
      <c r="B228" s="137" t="s">
        <v>345</v>
      </c>
      <c r="C228" s="137"/>
      <c r="D228" s="137"/>
      <c r="E228" s="137"/>
      <c r="F228" s="129">
        <f t="shared" ref="F228:Z228" si="402">+SUM(F225:F227)</f>
        <v>0</v>
      </c>
      <c r="G228" s="129">
        <f t="shared" si="402"/>
        <v>0</v>
      </c>
      <c r="H228" s="129">
        <f t="shared" si="402"/>
        <v>0</v>
      </c>
      <c r="I228" s="129">
        <f t="shared" si="402"/>
        <v>0</v>
      </c>
      <c r="J228" s="129">
        <f t="shared" si="402"/>
        <v>0</v>
      </c>
      <c r="K228" s="129">
        <f t="shared" si="402"/>
        <v>0</v>
      </c>
      <c r="L228" s="129">
        <f t="shared" si="402"/>
        <v>0</v>
      </c>
      <c r="M228" s="129">
        <f t="shared" si="402"/>
        <v>0</v>
      </c>
      <c r="N228" s="129">
        <f t="shared" si="402"/>
        <v>0</v>
      </c>
      <c r="O228" s="129">
        <f t="shared" si="402"/>
        <v>0</v>
      </c>
      <c r="P228" s="129">
        <f t="shared" ca="1" si="402"/>
        <v>23232942.439946175</v>
      </c>
      <c r="Q228" s="129">
        <f t="shared" si="402"/>
        <v>0</v>
      </c>
      <c r="R228" s="129">
        <f t="shared" si="402"/>
        <v>0</v>
      </c>
      <c r="S228" s="129">
        <f t="shared" si="402"/>
        <v>0</v>
      </c>
      <c r="T228" s="129">
        <f t="shared" si="402"/>
        <v>0</v>
      </c>
      <c r="U228" s="129">
        <f t="shared" si="402"/>
        <v>0</v>
      </c>
      <c r="V228" s="129">
        <f t="shared" si="402"/>
        <v>0</v>
      </c>
      <c r="W228" s="129">
        <f t="shared" si="402"/>
        <v>0</v>
      </c>
      <c r="X228" s="129">
        <f t="shared" si="402"/>
        <v>0</v>
      </c>
      <c r="Y228" s="129">
        <f t="shared" si="402"/>
        <v>0</v>
      </c>
      <c r="Z228" s="129">
        <f t="shared" si="402"/>
        <v>0</v>
      </c>
    </row>
    <row r="230" spans="2:26" x14ac:dyDescent="0.35">
      <c r="B230" s="138" t="s">
        <v>346</v>
      </c>
      <c r="C230" s="138"/>
      <c r="D230" s="138"/>
      <c r="E230" s="138"/>
      <c r="F230" s="139">
        <f ca="1">+IF(YEAR(F$140)&lt;=YEAR(Assumptions!$F$30),'Phase I Pro Forma'!F228+'Phase I Pro Forma'!F222,0)</f>
        <v>0</v>
      </c>
      <c r="G230" s="139">
        <f ca="1">+IF(YEAR(G$140)&lt;=YEAR(Assumptions!$F$30),'Phase I Pro Forma'!G228+'Phase I Pro Forma'!G222,0)</f>
        <v>0</v>
      </c>
      <c r="H230" s="139">
        <f ca="1">+IF(YEAR(H$140)&lt;=YEAR(Assumptions!$F$30),'Phase I Pro Forma'!H228+'Phase I Pro Forma'!H222,0)</f>
        <v>0</v>
      </c>
      <c r="I230" s="139">
        <f ca="1">+IF(YEAR(I$140)&lt;=YEAR(Assumptions!$F$30),'Phase I Pro Forma'!I228+'Phase I Pro Forma'!I222,0)</f>
        <v>-2126899.1483592493</v>
      </c>
      <c r="J230" s="139">
        <f ca="1">+IF(YEAR(J$140)&lt;=YEAR(Assumptions!$F$30),'Phase I Pro Forma'!J228+'Phase I Pro Forma'!J222,0)</f>
        <v>1460179.308393138</v>
      </c>
      <c r="K230" s="139">
        <f ca="1">+IF(YEAR(K$140)&lt;=YEAR(Assumptions!$F$30),'Phase I Pro Forma'!K228+'Phase I Pro Forma'!K222,0)</f>
        <v>1813574.7257591742</v>
      </c>
      <c r="L230" s="139">
        <f ca="1">+IF(YEAR(L$140)&lt;=YEAR(Assumptions!$F$30),'Phase I Pro Forma'!L228+'Phase I Pro Forma'!L222,0)</f>
        <v>1963555.8206157233</v>
      </c>
      <c r="M230" s="139">
        <f ca="1">+IF(YEAR(M$140)&lt;=YEAR(Assumptions!$F$30),'Phase I Pro Forma'!M228+'Phase I Pro Forma'!M222,0)</f>
        <v>2076617.5207099007</v>
      </c>
      <c r="N230" s="139">
        <f ca="1">+IF(YEAR(N$140)&lt;=YEAR(Assumptions!$F$30),'Phase I Pro Forma'!N228+'Phase I Pro Forma'!N222,0)</f>
        <v>2232657.851798655</v>
      </c>
      <c r="O230" s="139">
        <f ca="1">+IF(YEAR(O$140)&lt;=YEAR(Assumptions!$F$30),'Phase I Pro Forma'!O228+'Phase I Pro Forma'!O222,0)</f>
        <v>2391818.9895091844</v>
      </c>
      <c r="P230" s="139">
        <f ca="1">+IF(YEAR(P$140)&lt;=YEAR(Assumptions!$F$30),'Phase I Pro Forma'!P228+'Phase I Pro Forma'!P222,0)</f>
        <v>25746388.392927401</v>
      </c>
      <c r="Q230" s="139">
        <f>+IF(YEAR(Q$140)&lt;=YEAR(Assumptions!$F$30),'Phase I Pro Forma'!Q228+'Phase I Pro Forma'!Q222,0)</f>
        <v>0</v>
      </c>
      <c r="R230" s="139">
        <f>+IF(YEAR(R$140)&lt;=YEAR(Assumptions!$F$30),'Phase I Pro Forma'!R228+'Phase I Pro Forma'!R222,0)</f>
        <v>0</v>
      </c>
      <c r="S230" s="139">
        <f>+IF(YEAR(S$140)&lt;=YEAR(Assumptions!$F$30),'Phase I Pro Forma'!S228+'Phase I Pro Forma'!S222,0)</f>
        <v>0</v>
      </c>
      <c r="T230" s="139">
        <f>+IF(YEAR(T$140)&lt;=YEAR(Assumptions!$F$30),'Phase I Pro Forma'!T228+'Phase I Pro Forma'!T222,0)</f>
        <v>0</v>
      </c>
      <c r="U230" s="139">
        <f>+IF(YEAR(U$140)&lt;=YEAR(Assumptions!$F$30),'Phase I Pro Forma'!U228+'Phase I Pro Forma'!U222,0)</f>
        <v>0</v>
      </c>
      <c r="V230" s="139">
        <f>+IF(YEAR(V$140)&lt;=YEAR(Assumptions!$F$30),'Phase I Pro Forma'!V228+'Phase I Pro Forma'!V222,0)</f>
        <v>0</v>
      </c>
      <c r="W230" s="139">
        <f>+IF(YEAR(W$140)&lt;=YEAR(Assumptions!$F$30),'Phase I Pro Forma'!W228+'Phase I Pro Forma'!W222,0)</f>
        <v>0</v>
      </c>
      <c r="X230" s="139">
        <f>+IF(YEAR(X$140)&lt;=YEAR(Assumptions!$F$30),'Phase I Pro Forma'!X228+'Phase I Pro Forma'!X222,0)</f>
        <v>0</v>
      </c>
      <c r="Y230" s="139">
        <f>+IF(YEAR(Y$140)&lt;=YEAR(Assumptions!$F$30),'Phase I Pro Forma'!Y228+'Phase I Pro Forma'!Y222,0)</f>
        <v>0</v>
      </c>
      <c r="Z230" s="139">
        <f>+IF(YEAR(Z$140)&lt;=YEAR(Assumptions!$F$30),'Phase I Pro Forma'!Z228+'Phase I Pro Forma'!Z222,0)</f>
        <v>0</v>
      </c>
    </row>
    <row r="232" spans="2:26" x14ac:dyDescent="0.35">
      <c r="B232" s="37" t="s">
        <v>779</v>
      </c>
      <c r="C232" s="38"/>
      <c r="D232" s="38"/>
      <c r="E232" s="38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</row>
    <row r="234" spans="2:26" x14ac:dyDescent="0.35">
      <c r="B234" s="148" t="s">
        <v>238</v>
      </c>
      <c r="C234" s="149"/>
      <c r="D234" s="149"/>
      <c r="E234" s="149"/>
      <c r="F234" s="150">
        <f>+Assumptions!$F$22</f>
        <v>44196</v>
      </c>
      <c r="G234" s="150">
        <f>+EOMONTH(F234,12)</f>
        <v>44561</v>
      </c>
      <c r="H234" s="150">
        <f t="shared" ref="H234:Z234" si="403">+EOMONTH(G234,12)</f>
        <v>44926</v>
      </c>
      <c r="I234" s="150">
        <f t="shared" si="403"/>
        <v>45291</v>
      </c>
      <c r="J234" s="150">
        <f t="shared" si="403"/>
        <v>45657</v>
      </c>
      <c r="K234" s="150">
        <f t="shared" si="403"/>
        <v>46022</v>
      </c>
      <c r="L234" s="150">
        <f t="shared" si="403"/>
        <v>46387</v>
      </c>
      <c r="M234" s="150">
        <f t="shared" si="403"/>
        <v>46752</v>
      </c>
      <c r="N234" s="150">
        <f t="shared" si="403"/>
        <v>47118</v>
      </c>
      <c r="O234" s="150">
        <f t="shared" si="403"/>
        <v>47483</v>
      </c>
      <c r="P234" s="150">
        <f t="shared" si="403"/>
        <v>47848</v>
      </c>
      <c r="Q234" s="150">
        <f t="shared" si="403"/>
        <v>48213</v>
      </c>
      <c r="R234" s="150">
        <f t="shared" si="403"/>
        <v>48579</v>
      </c>
      <c r="S234" s="150">
        <f t="shared" si="403"/>
        <v>48944</v>
      </c>
      <c r="T234" s="150">
        <f t="shared" si="403"/>
        <v>49309</v>
      </c>
      <c r="U234" s="150">
        <f t="shared" si="403"/>
        <v>49674</v>
      </c>
      <c r="V234" s="150">
        <f t="shared" si="403"/>
        <v>50040</v>
      </c>
      <c r="W234" s="150">
        <f t="shared" si="403"/>
        <v>50405</v>
      </c>
      <c r="X234" s="150">
        <f t="shared" si="403"/>
        <v>50770</v>
      </c>
      <c r="Y234" s="150">
        <f t="shared" si="403"/>
        <v>51135</v>
      </c>
      <c r="Z234" s="150">
        <f t="shared" si="403"/>
        <v>51501</v>
      </c>
    </row>
    <row r="235" spans="2:26" x14ac:dyDescent="0.35">
      <c r="B235" s="33" t="s">
        <v>766</v>
      </c>
      <c r="C235" s="33"/>
      <c r="D235" s="40"/>
      <c r="E235" s="40"/>
      <c r="F235" s="42">
        <f>+IF(AND(F234&gt;=Assumptions!$F$26,F234&lt;Assumptions!$F$28),Assumptions!$F$218/ROUNDUP((Assumptions!$F$27/12),0),0)</f>
        <v>0</v>
      </c>
      <c r="G235" s="42">
        <f>+IF(AND(G234&gt;=Assumptions!$F$26,G234&lt;Assumptions!$F$28),Assumptions!$F$218/ROUNDUP((Assumptions!$F$27/12),0),0)</f>
        <v>0</v>
      </c>
      <c r="H235" s="42">
        <f>+IF(AND(H234&gt;=Assumptions!$F$26,H234&lt;Assumptions!$F$28),Assumptions!$F$218/ROUNDUP((Assumptions!$F$27/12),0),0)</f>
        <v>0</v>
      </c>
      <c r="I235" s="42">
        <f>+IF(AND(I234&gt;=Assumptions!$F$26,I234&lt;Assumptions!$F$28),Assumptions!$F$218/ROUNDUP((Assumptions!$F$27/12),0),0)</f>
        <v>4.9999999999999998E-7</v>
      </c>
      <c r="J235" s="42">
        <f>+IF(AND(J234&gt;=Assumptions!$F$26,J234&lt;Assumptions!$F$28),Assumptions!$F$218/ROUNDUP((Assumptions!$F$27/12),0),0)</f>
        <v>4.9999999999999998E-7</v>
      </c>
      <c r="K235" s="42">
        <f>+IF(AND(K234&gt;=Assumptions!$F$26,K234&lt;Assumptions!$F$28),Assumptions!$F$218/ROUNDUP((Assumptions!$F$27/12),0),0)</f>
        <v>0</v>
      </c>
      <c r="L235" s="42">
        <f>+IF(AND(L234&gt;=Assumptions!$F$26,L234&lt;Assumptions!$F$28),Assumptions!$F$218/ROUNDUP((Assumptions!$F$27/12),0),0)</f>
        <v>0</v>
      </c>
      <c r="M235" s="42">
        <f>+IF(AND(M234&gt;=Assumptions!$F$26,M234&lt;Assumptions!$F$28),Assumptions!$F$218/ROUNDUP((Assumptions!$F$27/12),0),0)</f>
        <v>0</v>
      </c>
      <c r="N235" s="42">
        <f>+IF(AND(N234&gt;=Assumptions!$F$26,N234&lt;Assumptions!$F$28),Assumptions!$F$218/ROUNDUP((Assumptions!$F$27/12),0),0)</f>
        <v>0</v>
      </c>
      <c r="O235" s="42">
        <f>+IF(AND(O234&gt;=Assumptions!$F$26,O234&lt;Assumptions!$F$28),Assumptions!$F$218/ROUNDUP((Assumptions!$F$27/12),0),0)</f>
        <v>0</v>
      </c>
      <c r="P235" s="42">
        <f>+IF(AND(P234&gt;=Assumptions!$F$26,P234&lt;Assumptions!$F$28),Assumptions!$F$218/ROUNDUP((Assumptions!$F$27/12),0),0)</f>
        <v>0</v>
      </c>
      <c r="Q235" s="42">
        <f>+IF(AND(Q234&gt;=Assumptions!$F$26,Q234&lt;Assumptions!$F$28),Assumptions!$F$218/ROUNDUP((Assumptions!$F$27/12),0),0)</f>
        <v>0</v>
      </c>
      <c r="R235" s="42">
        <f>+IF(AND(R234&gt;=Assumptions!$F$26,R234&lt;Assumptions!$F$28),Assumptions!$F$218/ROUNDUP((Assumptions!$F$27/12),0),0)</f>
        <v>0</v>
      </c>
      <c r="S235" s="42">
        <f>+IF(AND(S234&gt;=Assumptions!$F$26,S234&lt;Assumptions!$F$28),Assumptions!$F$218/ROUNDUP((Assumptions!$F$27/12),0),0)</f>
        <v>0</v>
      </c>
      <c r="T235" s="42">
        <f>+IF(AND(T234&gt;=Assumptions!$F$26,T234&lt;Assumptions!$F$28),Assumptions!$F$218/ROUNDUP((Assumptions!$F$27/12),0),0)</f>
        <v>0</v>
      </c>
      <c r="U235" s="42">
        <f>+IF(AND(U234&gt;=Assumptions!$F$26,U234&lt;Assumptions!$F$28),Assumptions!$F$218/ROUNDUP((Assumptions!$F$27/12),0),0)</f>
        <v>0</v>
      </c>
      <c r="V235" s="42">
        <f>+IF(AND(V234&gt;=Assumptions!$F$26,V234&lt;Assumptions!$F$28),Assumptions!$F$218/ROUNDUP((Assumptions!$F$27/12),0),0)</f>
        <v>0</v>
      </c>
      <c r="W235" s="42">
        <f>+IF(AND(W234&gt;=Assumptions!$F$26,W234&lt;Assumptions!$F$28),Assumptions!$F$218/ROUNDUP((Assumptions!$F$27/12),0),0)</f>
        <v>0</v>
      </c>
      <c r="X235" s="42">
        <f>+IF(AND(X234&gt;=Assumptions!$F$26,X234&lt;Assumptions!$F$28),Assumptions!$F$218/ROUNDUP((Assumptions!$F$27/12),0),0)</f>
        <v>0</v>
      </c>
      <c r="Y235" s="42">
        <f>+IF(AND(Y234&gt;=Assumptions!$F$26,Y234&lt;Assumptions!$F$28),Assumptions!$F$218/ROUNDUP((Assumptions!$F$27/12),0),0)</f>
        <v>0</v>
      </c>
      <c r="Z235" s="42">
        <f>+IF(AND(Z234&gt;=Assumptions!$F$26,Z234&lt;Assumptions!$F$28),Assumptions!$F$218/ROUNDUP((Assumptions!$F$27/12),0),0)</f>
        <v>0</v>
      </c>
    </row>
    <row r="236" spans="2:26" x14ac:dyDescent="0.35">
      <c r="B236" s="33" t="s">
        <v>249</v>
      </c>
      <c r="C236" s="33"/>
      <c r="D236" s="42">
        <v>0</v>
      </c>
      <c r="E236" s="42"/>
      <c r="F236" s="42">
        <f>+D236+F235</f>
        <v>0</v>
      </c>
      <c r="G236" s="42">
        <f t="shared" ref="G236" si="404">+F236+G235</f>
        <v>0</v>
      </c>
      <c r="H236" s="42">
        <f t="shared" ref="H236" si="405">+G236+H235</f>
        <v>0</v>
      </c>
      <c r="I236" s="42">
        <f t="shared" ref="I236" si="406">+H236+I235</f>
        <v>4.9999999999999998E-7</v>
      </c>
      <c r="J236" s="42">
        <f t="shared" ref="J236" si="407">+I236+J235</f>
        <v>9.9999999999999995E-7</v>
      </c>
      <c r="K236" s="42">
        <f t="shared" ref="K236" si="408">+J236+K235</f>
        <v>9.9999999999999995E-7</v>
      </c>
      <c r="L236" s="42">
        <f t="shared" ref="L236" si="409">+K236+L235</f>
        <v>9.9999999999999995E-7</v>
      </c>
      <c r="M236" s="42">
        <f t="shared" ref="M236" si="410">+L236+M235</f>
        <v>9.9999999999999995E-7</v>
      </c>
      <c r="N236" s="42">
        <f t="shared" ref="N236" si="411">+M236+N235</f>
        <v>9.9999999999999995E-7</v>
      </c>
      <c r="O236" s="42">
        <f t="shared" ref="O236" si="412">+N236+O235</f>
        <v>9.9999999999999995E-7</v>
      </c>
      <c r="P236" s="42">
        <f t="shared" ref="P236" si="413">+O236+P235</f>
        <v>9.9999999999999995E-7</v>
      </c>
      <c r="Q236" s="42">
        <f t="shared" ref="Q236" si="414">+P236+Q235</f>
        <v>9.9999999999999995E-7</v>
      </c>
      <c r="R236" s="42">
        <f t="shared" ref="R236" si="415">+Q236+R235</f>
        <v>9.9999999999999995E-7</v>
      </c>
      <c r="S236" s="42">
        <f t="shared" ref="S236" si="416">+R236+S235</f>
        <v>9.9999999999999995E-7</v>
      </c>
      <c r="T236" s="42">
        <f t="shared" ref="T236" si="417">+S236+T235</f>
        <v>9.9999999999999995E-7</v>
      </c>
      <c r="U236" s="42">
        <f t="shared" ref="U236" si="418">+T236+U235</f>
        <v>9.9999999999999995E-7</v>
      </c>
      <c r="V236" s="42">
        <f t="shared" ref="V236" si="419">+U236+V235</f>
        <v>9.9999999999999995E-7</v>
      </c>
      <c r="W236" s="42">
        <f t="shared" ref="W236" si="420">+V236+W235</f>
        <v>9.9999999999999995E-7</v>
      </c>
      <c r="X236" s="42">
        <f t="shared" ref="X236" si="421">+W236+X235</f>
        <v>9.9999999999999995E-7</v>
      </c>
      <c r="Y236" s="42">
        <f t="shared" ref="Y236" si="422">+X236+Y235</f>
        <v>9.9999999999999995E-7</v>
      </c>
      <c r="Z236" s="42">
        <f t="shared" ref="Z236" si="423">+Y236+Z235</f>
        <v>9.9999999999999995E-7</v>
      </c>
    </row>
    <row r="237" spans="2:26" x14ac:dyDescent="0.35">
      <c r="B237" s="33" t="s">
        <v>306</v>
      </c>
      <c r="C237" s="33"/>
      <c r="D237" s="42"/>
      <c r="E237" s="42"/>
      <c r="F237" s="108">
        <f t="shared" ref="F237:Z237" si="424">+F236/SUM($F235:$Z235)</f>
        <v>0</v>
      </c>
      <c r="G237" s="108">
        <f t="shared" si="424"/>
        <v>0</v>
      </c>
      <c r="H237" s="108">
        <f t="shared" si="424"/>
        <v>0</v>
      </c>
      <c r="I237" s="108">
        <f t="shared" si="424"/>
        <v>0.5</v>
      </c>
      <c r="J237" s="108">
        <f t="shared" si="424"/>
        <v>1</v>
      </c>
      <c r="K237" s="108">
        <f t="shared" si="424"/>
        <v>1</v>
      </c>
      <c r="L237" s="108">
        <f t="shared" si="424"/>
        <v>1</v>
      </c>
      <c r="M237" s="108">
        <f t="shared" si="424"/>
        <v>1</v>
      </c>
      <c r="N237" s="108">
        <f t="shared" si="424"/>
        <v>1</v>
      </c>
      <c r="O237" s="108">
        <f t="shared" si="424"/>
        <v>1</v>
      </c>
      <c r="P237" s="108">
        <f t="shared" si="424"/>
        <v>1</v>
      </c>
      <c r="Q237" s="108">
        <f t="shared" si="424"/>
        <v>1</v>
      </c>
      <c r="R237" s="108">
        <f t="shared" si="424"/>
        <v>1</v>
      </c>
      <c r="S237" s="108">
        <f t="shared" si="424"/>
        <v>1</v>
      </c>
      <c r="T237" s="108">
        <f t="shared" si="424"/>
        <v>1</v>
      </c>
      <c r="U237" s="108">
        <f t="shared" si="424"/>
        <v>1</v>
      </c>
      <c r="V237" s="108">
        <f t="shared" si="424"/>
        <v>1</v>
      </c>
      <c r="W237" s="108">
        <f t="shared" si="424"/>
        <v>1</v>
      </c>
      <c r="X237" s="108">
        <f t="shared" si="424"/>
        <v>1</v>
      </c>
      <c r="Y237" s="108">
        <f t="shared" si="424"/>
        <v>1</v>
      </c>
      <c r="Z237" s="108">
        <f t="shared" si="424"/>
        <v>1</v>
      </c>
    </row>
    <row r="238" spans="2:26" x14ac:dyDescent="0.35">
      <c r="B238" s="33"/>
      <c r="C238" s="33"/>
      <c r="D238" s="40"/>
      <c r="E238" s="40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2:26" x14ac:dyDescent="0.35">
      <c r="B239" s="33" t="s">
        <v>254</v>
      </c>
      <c r="C239" s="33"/>
      <c r="D239" s="42"/>
      <c r="E239" s="42"/>
      <c r="F239" s="108">
        <v>1</v>
      </c>
      <c r="G239" s="108">
        <f>+IF(MOD(G$2,Assumptions!$N$73)=(Assumptions!$N$73-1),F239*(1+Assumptions!$N$72),'Phase I Pro Forma'!F239)</f>
        <v>1</v>
      </c>
      <c r="H239" s="108">
        <f>+IF(MOD(H$2,Assumptions!$N$73)=(Assumptions!$N$73-1),G239*(1+Assumptions!$N$72),'Phase I Pro Forma'!G239)</f>
        <v>1</v>
      </c>
      <c r="I239" s="108">
        <f>+IF(MOD(I$2,Assumptions!$N$73)=(Assumptions!$N$73-1),H239*(1+Assumptions!$N$72),'Phase I Pro Forma'!H239)</f>
        <v>1</v>
      </c>
      <c r="J239" s="108">
        <f>+IF(MOD(J$2,Assumptions!$N$73)=(Assumptions!$N$73-1),I239*(1+Assumptions!$N$72),'Phase I Pro Forma'!I239)</f>
        <v>1</v>
      </c>
      <c r="K239" s="108">
        <f>+IF(MOD(K$2,Assumptions!$N$73)=(Assumptions!$N$73-1),J239*(1+Assumptions!$N$72),'Phase I Pro Forma'!J239)</f>
        <v>1</v>
      </c>
      <c r="L239" s="108">
        <f>+IF(MOD(L$2,Assumptions!$N$73)=(Assumptions!$N$73-1),K239*(1+Assumptions!$N$72),'Phase I Pro Forma'!K239)</f>
        <v>1.1000000000000001</v>
      </c>
      <c r="M239" s="108">
        <f>+IF(MOD(M$2,Assumptions!$N$73)=(Assumptions!$N$73-1),L239*(1+Assumptions!$N$72),'Phase I Pro Forma'!L239)</f>
        <v>1.1000000000000001</v>
      </c>
      <c r="N239" s="108">
        <f>+IF(MOD(N$2,Assumptions!$N$73)=(Assumptions!$N$73-1),M239*(1+Assumptions!$N$72),'Phase I Pro Forma'!M239)</f>
        <v>1.1000000000000001</v>
      </c>
      <c r="O239" s="108">
        <f>+IF(MOD(O$2,Assumptions!$N$73)=(Assumptions!$N$73-1),N239*(1+Assumptions!$N$72),'Phase I Pro Forma'!N239)</f>
        <v>1.1000000000000001</v>
      </c>
      <c r="P239" s="108">
        <f>+IF(MOD(P$2,Assumptions!$N$73)=(Assumptions!$N$73-1),O239*(1+Assumptions!$N$72),'Phase I Pro Forma'!O239)</f>
        <v>1.1000000000000001</v>
      </c>
      <c r="Q239" s="108">
        <f>+IF(MOD(Q$2,Assumptions!$N$73)=(Assumptions!$N$73-1),P239*(1+Assumptions!$N$72),'Phase I Pro Forma'!P239)</f>
        <v>1.2100000000000002</v>
      </c>
      <c r="R239" s="108">
        <f>+IF(MOD(R$2,Assumptions!$N$73)=(Assumptions!$N$73-1),Q239*(1+Assumptions!$N$72),'Phase I Pro Forma'!Q239)</f>
        <v>1.2100000000000002</v>
      </c>
      <c r="S239" s="108">
        <f>+IF(MOD(S$2,Assumptions!$N$73)=(Assumptions!$N$73-1),R239*(1+Assumptions!$N$72),'Phase I Pro Forma'!R239)</f>
        <v>1.2100000000000002</v>
      </c>
      <c r="T239" s="108">
        <f>+IF(MOD(T$2,Assumptions!$N$73)=(Assumptions!$N$73-1),S239*(1+Assumptions!$N$72),'Phase I Pro Forma'!S239)</f>
        <v>1.2100000000000002</v>
      </c>
      <c r="U239" s="108">
        <f>+IF(MOD(U$2,Assumptions!$N$73)=(Assumptions!$N$73-1),T239*(1+Assumptions!$N$72),'Phase I Pro Forma'!T239)</f>
        <v>1.2100000000000002</v>
      </c>
      <c r="V239" s="108">
        <f>+IF(MOD(V$2,Assumptions!$N$73)=(Assumptions!$N$73-1),U239*(1+Assumptions!$N$72),'Phase I Pro Forma'!U239)</f>
        <v>1.3310000000000004</v>
      </c>
      <c r="W239" s="108">
        <f>+IF(MOD(W$2,Assumptions!$N$73)=(Assumptions!$N$73-1),V239*(1+Assumptions!$N$72),'Phase I Pro Forma'!V239)</f>
        <v>1.3310000000000004</v>
      </c>
      <c r="X239" s="108">
        <f>+IF(MOD(X$2,Assumptions!$N$73)=(Assumptions!$N$73-1),W239*(1+Assumptions!$N$72),'Phase I Pro Forma'!W239)</f>
        <v>1.3310000000000004</v>
      </c>
      <c r="Y239" s="108">
        <f>+IF(MOD(Y$2,Assumptions!$N$73)=(Assumptions!$N$73-1),X239*(1+Assumptions!$N$72),'Phase I Pro Forma'!X239)</f>
        <v>1.3310000000000004</v>
      </c>
      <c r="Z239" s="108">
        <f>+IF(MOD(Z$2,Assumptions!$N$73)=(Assumptions!$N$73-1),Y239*(1+Assumptions!$N$72),'Phase I Pro Forma'!Y239)</f>
        <v>1.3310000000000004</v>
      </c>
    </row>
    <row r="240" spans="2:26" x14ac:dyDescent="0.35">
      <c r="B240" s="33" t="s">
        <v>255</v>
      </c>
      <c r="C240" s="33"/>
      <c r="D240" s="42"/>
      <c r="E240" s="42"/>
      <c r="F240" s="108">
        <v>1</v>
      </c>
      <c r="G240" s="108">
        <f>+F240*(1+Assumptions!$N$81)</f>
        <v>1.03</v>
      </c>
      <c r="H240" s="108">
        <f>+G240*(1+Assumptions!$N$81)</f>
        <v>1.0609</v>
      </c>
      <c r="I240" s="108">
        <f>+H240*(1+Assumptions!$N$81)</f>
        <v>1.092727</v>
      </c>
      <c r="J240" s="108">
        <f>+I240*(1+Assumptions!$N$81)</f>
        <v>1.1255088100000001</v>
      </c>
      <c r="K240" s="108">
        <f>+J240*(1+Assumptions!$N$81)</f>
        <v>1.1592740743000001</v>
      </c>
      <c r="L240" s="108">
        <f>+K240*(1+Assumptions!$N$81)</f>
        <v>1.1940522965290001</v>
      </c>
      <c r="M240" s="108">
        <f>+L240*(1+Assumptions!$N$81)</f>
        <v>1.2298738654248702</v>
      </c>
      <c r="N240" s="108">
        <f>+M240*(1+Assumptions!$N$81)</f>
        <v>1.2667700813876164</v>
      </c>
      <c r="O240" s="108">
        <f>+N240*(1+Assumptions!$N$81)</f>
        <v>1.3047731838292449</v>
      </c>
      <c r="P240" s="108">
        <f>+O240*(1+Assumptions!$N$81)</f>
        <v>1.3439163793441222</v>
      </c>
      <c r="Q240" s="108">
        <f>+P240*(1+Assumptions!$N$81)</f>
        <v>1.3842338707244459</v>
      </c>
      <c r="R240" s="108">
        <f>+Q240*(1+Assumptions!$N$81)</f>
        <v>1.4257608868461793</v>
      </c>
      <c r="S240" s="108">
        <f>+R240*(1+Assumptions!$N$81)</f>
        <v>1.4685337134515648</v>
      </c>
      <c r="T240" s="108">
        <f>+S240*(1+Assumptions!$N$81)</f>
        <v>1.5125897248551119</v>
      </c>
      <c r="U240" s="108">
        <f>+T240*(1+Assumptions!$N$81)</f>
        <v>1.5579674166007653</v>
      </c>
      <c r="V240" s="108">
        <f>+U240*(1+Assumptions!$N$81)</f>
        <v>1.6047064390987884</v>
      </c>
      <c r="W240" s="108">
        <f>+V240*(1+Assumptions!$N$81)</f>
        <v>1.652847632271752</v>
      </c>
      <c r="X240" s="108">
        <f>+W240*(1+Assumptions!$N$81)</f>
        <v>1.7024330612399046</v>
      </c>
      <c r="Y240" s="108">
        <f>+X240*(1+Assumptions!$N$81)</f>
        <v>1.7535060530771018</v>
      </c>
      <c r="Z240" s="108">
        <f>+Y240*(1+Assumptions!$N$81)</f>
        <v>1.806111234669415</v>
      </c>
    </row>
    <row r="241" spans="2:26" x14ac:dyDescent="0.35">
      <c r="B241" s="33"/>
      <c r="C241" s="33"/>
      <c r="D241" s="40"/>
      <c r="E241" s="40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2:26" x14ac:dyDescent="0.35">
      <c r="B242" s="33" t="s">
        <v>246</v>
      </c>
      <c r="C242" s="33"/>
      <c r="D242" s="40"/>
      <c r="E242" s="40"/>
      <c r="F242" s="34">
        <f>+F237*Assumptions!$F$217*F239</f>
        <v>0</v>
      </c>
      <c r="G242" s="34">
        <f>+G237*Assumptions!$F$217*G239</f>
        <v>0</v>
      </c>
      <c r="H242" s="34">
        <f>+H237*Assumptions!$F$217*H239</f>
        <v>0</v>
      </c>
      <c r="I242" s="34">
        <f>+I237*Assumptions!$F$217*I239</f>
        <v>6.0000000000000002E-6</v>
      </c>
      <c r="J242" s="34">
        <f>+J237*Assumptions!$F$217*J239</f>
        <v>1.2E-5</v>
      </c>
      <c r="K242" s="34">
        <f>+K237*Assumptions!$F$217*K239</f>
        <v>1.2E-5</v>
      </c>
      <c r="L242" s="34">
        <f>+L237*Assumptions!$F$217*L239</f>
        <v>1.3200000000000001E-5</v>
      </c>
      <c r="M242" s="34">
        <f>+M237*Assumptions!$F$217*M239</f>
        <v>1.3200000000000001E-5</v>
      </c>
      <c r="N242" s="34">
        <f>+N237*Assumptions!$F$217*N239</f>
        <v>1.3200000000000001E-5</v>
      </c>
      <c r="O242" s="34">
        <f>+O237*Assumptions!$F$217*O239</f>
        <v>1.3200000000000001E-5</v>
      </c>
      <c r="P242" s="34">
        <f>+P237*Assumptions!$F$217*P239</f>
        <v>1.3200000000000001E-5</v>
      </c>
      <c r="Q242" s="34">
        <f>+Q237*Assumptions!$F$217*Q239</f>
        <v>1.4520000000000003E-5</v>
      </c>
      <c r="R242" s="34">
        <f>+R237*Assumptions!$F$217*R239</f>
        <v>1.4520000000000003E-5</v>
      </c>
      <c r="S242" s="34">
        <f>+S237*Assumptions!$F$217*S239</f>
        <v>1.4520000000000003E-5</v>
      </c>
      <c r="T242" s="34">
        <f>+T237*Assumptions!$F$217*T239</f>
        <v>1.4520000000000003E-5</v>
      </c>
      <c r="U242" s="34">
        <f>+U237*Assumptions!$F$217*U239</f>
        <v>1.4520000000000003E-5</v>
      </c>
      <c r="V242" s="34">
        <f>+V237*Assumptions!$F$217*V239</f>
        <v>1.5972000000000006E-5</v>
      </c>
      <c r="W242" s="34">
        <f>+W237*Assumptions!$F$217*W239</f>
        <v>1.5972000000000006E-5</v>
      </c>
      <c r="X242" s="34">
        <f>+X237*Assumptions!$F$217*X239</f>
        <v>1.5972000000000006E-5</v>
      </c>
      <c r="Y242" s="34">
        <f>+Y237*Assumptions!$F$217*Y239</f>
        <v>1.5972000000000006E-5</v>
      </c>
      <c r="Z242" s="34">
        <f>+Z237*Assumptions!$F$217*Z239</f>
        <v>1.5972000000000006E-5</v>
      </c>
    </row>
    <row r="243" spans="2:26" x14ac:dyDescent="0.35">
      <c r="B243" s="33" t="s">
        <v>247</v>
      </c>
      <c r="C243" s="33"/>
      <c r="D243" s="40"/>
      <c r="E243" s="40"/>
      <c r="F243" s="42">
        <f>-F242*Assumptions!$N$59</f>
        <v>0</v>
      </c>
      <c r="G243" s="42">
        <f>-G242*Assumptions!$N$59</f>
        <v>0</v>
      </c>
      <c r="H243" s="42">
        <f>-H242*Assumptions!$N$59</f>
        <v>0</v>
      </c>
      <c r="I243" s="42">
        <f>-I242*Assumptions!$N$59</f>
        <v>-3.5999999999999999E-7</v>
      </c>
      <c r="J243" s="42">
        <f>-J242*Assumptions!$N$59</f>
        <v>-7.1999999999999999E-7</v>
      </c>
      <c r="K243" s="42">
        <f>-K242*Assumptions!$N$59</f>
        <v>-7.1999999999999999E-7</v>
      </c>
      <c r="L243" s="42">
        <f>-L242*Assumptions!$N$59</f>
        <v>-7.92E-7</v>
      </c>
      <c r="M243" s="42">
        <f>-M242*Assumptions!$N$59</f>
        <v>-7.92E-7</v>
      </c>
      <c r="N243" s="42">
        <f>-N242*Assumptions!$N$59</f>
        <v>-7.92E-7</v>
      </c>
      <c r="O243" s="42">
        <f>-O242*Assumptions!$N$59</f>
        <v>-7.92E-7</v>
      </c>
      <c r="P243" s="42">
        <f>-P242*Assumptions!$N$59</f>
        <v>-7.92E-7</v>
      </c>
      <c r="Q243" s="42">
        <f>-Q242*Assumptions!$N$59</f>
        <v>-8.7120000000000012E-7</v>
      </c>
      <c r="R243" s="42">
        <f>-R242*Assumptions!$N$59</f>
        <v>-8.7120000000000012E-7</v>
      </c>
      <c r="S243" s="42">
        <f>-S242*Assumptions!$N$59</f>
        <v>-8.7120000000000012E-7</v>
      </c>
      <c r="T243" s="42">
        <f>-T242*Assumptions!$N$59</f>
        <v>-8.7120000000000012E-7</v>
      </c>
      <c r="U243" s="42">
        <f>-U242*Assumptions!$N$59</f>
        <v>-8.7120000000000012E-7</v>
      </c>
      <c r="V243" s="42">
        <f>-V242*Assumptions!$N$59</f>
        <v>-9.5832000000000034E-7</v>
      </c>
      <c r="W243" s="42">
        <f>-W242*Assumptions!$N$59</f>
        <v>-9.5832000000000034E-7</v>
      </c>
      <c r="X243" s="42">
        <f>-X242*Assumptions!$N$59</f>
        <v>-9.5832000000000034E-7</v>
      </c>
      <c r="Y243" s="42">
        <f>-Y242*Assumptions!$N$59</f>
        <v>-9.5832000000000034E-7</v>
      </c>
      <c r="Z243" s="42">
        <f>-Z242*Assumptions!$N$59</f>
        <v>-9.5832000000000034E-7</v>
      </c>
    </row>
    <row r="244" spans="2:26" x14ac:dyDescent="0.35">
      <c r="B244" s="33" t="s">
        <v>262</v>
      </c>
      <c r="C244" s="33"/>
      <c r="D244" s="40"/>
      <c r="E244" s="40"/>
      <c r="F244" s="151">
        <f ca="1">+F249*Assumptions!$N$92</f>
        <v>0</v>
      </c>
      <c r="G244" s="151">
        <f ca="1">+G249*Assumptions!$N$92</f>
        <v>0</v>
      </c>
      <c r="H244" s="151">
        <f ca="1">+H249*Assumptions!$N$92</f>
        <v>0</v>
      </c>
      <c r="I244" s="151">
        <f ca="1">+I249*Assumptions!$N$92</f>
        <v>3.0982195726315788E-6</v>
      </c>
      <c r="J244" s="151">
        <f ca="1">+J249*Assumptions!$N$92</f>
        <v>6.3422224681684204E-6</v>
      </c>
      <c r="K244" s="151">
        <f ca="1">+K249*Assumptions!$N$92</f>
        <v>6.4097529967684209E-6</v>
      </c>
      <c r="L244" s="151">
        <f ca="1">+L249*Assumptions!$N$92</f>
        <v>6.4793094412264202E-6</v>
      </c>
      <c r="M244" s="151">
        <f ca="1">+M249*Assumptions!$N$92</f>
        <v>6.6327766759815295E-6</v>
      </c>
      <c r="N244" s="151">
        <f ca="1">+N249*Assumptions!$N$92</f>
        <v>6.7065691079070225E-6</v>
      </c>
      <c r="O244" s="151">
        <f ca="1">+O249*Assumptions!$N$92</f>
        <v>6.7825753127902795E-6</v>
      </c>
      <c r="P244" s="151">
        <f ca="1">+P249*Assumptions!$N$92</f>
        <v>6.9443222827226698E-6</v>
      </c>
      <c r="Q244" s="151">
        <f ca="1">+Q249*Assumptions!$N$92</f>
        <v>7.0249572654833178E-6</v>
      </c>
      <c r="R244" s="151">
        <f ca="1">+R249*Assumptions!$N$92</f>
        <v>7.1080112977267841E-6</v>
      </c>
      <c r="S244" s="151">
        <f ca="1">+S249*Assumptions!$N$92</f>
        <v>7.2786867414182441E-6</v>
      </c>
      <c r="T244" s="151">
        <f ca="1">+T249*Assumptions!$N$92</f>
        <v>7.3667987642253375E-6</v>
      </c>
      <c r="U244" s="151">
        <f ca="1">+U249*Assumptions!$N$92</f>
        <v>7.4575541477166443E-6</v>
      </c>
      <c r="V244" s="151">
        <f ca="1">+V249*Assumptions!$N$92</f>
        <v>7.6378645790029931E-6</v>
      </c>
      <c r="W244" s="151">
        <f ca="1">+W249*Assumptions!$N$92</f>
        <v>7.7341469653489202E-6</v>
      </c>
      <c r="X244" s="151">
        <f ca="1">+X249*Assumptions!$N$92</f>
        <v>7.8333178232852248E-6</v>
      </c>
      <c r="Y244" s="151">
        <f ca="1">+Y249*Assumptions!$N$92</f>
        <v>8.0240328409757272E-6</v>
      </c>
      <c r="Z244" s="151">
        <f ca="1">+Z249*Assumptions!$N$92</f>
        <v>8.129243204160354E-6</v>
      </c>
    </row>
    <row r="245" spans="2:26" x14ac:dyDescent="0.35">
      <c r="B245" s="137" t="s">
        <v>256</v>
      </c>
      <c r="C245" s="137"/>
      <c r="D245" s="137"/>
      <c r="E245" s="137"/>
      <c r="F245" s="129">
        <f t="shared" ref="F245:Z245" ca="1" si="425">+SUM(F242:F244)</f>
        <v>0</v>
      </c>
      <c r="G245" s="129">
        <f t="shared" ca="1" si="425"/>
        <v>0</v>
      </c>
      <c r="H245" s="129">
        <f t="shared" ca="1" si="425"/>
        <v>0</v>
      </c>
      <c r="I245" s="129">
        <f t="shared" ca="1" si="425"/>
        <v>8.7382195726315781E-6</v>
      </c>
      <c r="J245" s="129">
        <f t="shared" ca="1" si="425"/>
        <v>1.7622222468168421E-5</v>
      </c>
      <c r="K245" s="129">
        <f t="shared" ca="1" si="425"/>
        <v>1.768975299676842E-5</v>
      </c>
      <c r="L245" s="129">
        <f t="shared" ca="1" si="425"/>
        <v>1.8887309441226421E-5</v>
      </c>
      <c r="M245" s="129">
        <f t="shared" ca="1" si="425"/>
        <v>1.9040776675981532E-5</v>
      </c>
      <c r="N245" s="129">
        <f t="shared" ca="1" si="425"/>
        <v>1.9114569107907024E-5</v>
      </c>
      <c r="O245" s="129">
        <f t="shared" ca="1" si="425"/>
        <v>1.9190575312790281E-5</v>
      </c>
      <c r="P245" s="129">
        <f t="shared" ca="1" si="425"/>
        <v>1.9352322282722672E-5</v>
      </c>
      <c r="Q245" s="129">
        <f t="shared" ca="1" si="425"/>
        <v>2.0673757265483322E-5</v>
      </c>
      <c r="R245" s="129">
        <f t="shared" ca="1" si="425"/>
        <v>2.075681129772679E-5</v>
      </c>
      <c r="S245" s="129">
        <f t="shared" ca="1" si="425"/>
        <v>2.0927486741418246E-5</v>
      </c>
      <c r="T245" s="129">
        <f t="shared" ca="1" si="425"/>
        <v>2.1015598764225343E-5</v>
      </c>
      <c r="U245" s="129">
        <f t="shared" ca="1" si="425"/>
        <v>2.110635414771665E-5</v>
      </c>
      <c r="V245" s="129">
        <f t="shared" ca="1" si="425"/>
        <v>2.2651544579002997E-5</v>
      </c>
      <c r="W245" s="129">
        <f t="shared" ca="1" si="425"/>
        <v>2.2747826965348925E-5</v>
      </c>
      <c r="X245" s="129">
        <f t="shared" ca="1" si="425"/>
        <v>2.2846997823285232E-5</v>
      </c>
      <c r="Y245" s="129">
        <f t="shared" ca="1" si="425"/>
        <v>2.3037712840975731E-5</v>
      </c>
      <c r="Z245" s="129">
        <f t="shared" ca="1" si="425"/>
        <v>2.3142923204160359E-5</v>
      </c>
    </row>
    <row r="247" spans="2:26" x14ac:dyDescent="0.35">
      <c r="B247" s="33" t="s">
        <v>395</v>
      </c>
      <c r="F247" s="34">
        <f>+F236*Assumptions!$N$124*'Phase I Pro Forma'!F240</f>
        <v>0</v>
      </c>
      <c r="G247" s="34">
        <f>+G236*Assumptions!$N$124*'Phase I Pro Forma'!G240</f>
        <v>0</v>
      </c>
      <c r="H247" s="34">
        <f>+H236*Assumptions!$N$124*'Phase I Pro Forma'!H240</f>
        <v>0</v>
      </c>
      <c r="I247" s="34">
        <f>+I236*Assumptions!$N$124*'Phase I Pro Forma'!I240</f>
        <v>1.092727E-6</v>
      </c>
      <c r="J247" s="34">
        <f>+J236*Assumptions!$N$124*'Phase I Pro Forma'!J240</f>
        <v>2.2510176200000001E-6</v>
      </c>
      <c r="K247" s="34">
        <f>+K236*Assumptions!$N$124*'Phase I Pro Forma'!K240</f>
        <v>2.3185481486000001E-6</v>
      </c>
      <c r="L247" s="34">
        <f>+L236*Assumptions!$N$124*'Phase I Pro Forma'!L240</f>
        <v>2.3881045930580003E-6</v>
      </c>
      <c r="M247" s="34">
        <f>+M236*Assumptions!$N$124*'Phase I Pro Forma'!M240</f>
        <v>2.4597477308497401E-6</v>
      </c>
      <c r="N247" s="34">
        <f>+N236*Assumptions!$N$124*'Phase I Pro Forma'!N240</f>
        <v>2.5335401627752327E-6</v>
      </c>
      <c r="O247" s="34">
        <f>+O236*Assumptions!$N$124*'Phase I Pro Forma'!O240</f>
        <v>2.6095463676584897E-6</v>
      </c>
      <c r="P247" s="34">
        <f>+P236*Assumptions!$N$124*'Phase I Pro Forma'!P240</f>
        <v>2.6878327586882443E-6</v>
      </c>
      <c r="Q247" s="34">
        <f>+Q236*Assumptions!$N$124*'Phase I Pro Forma'!Q240</f>
        <v>2.7684677414488919E-6</v>
      </c>
      <c r="R247" s="34">
        <f>+R236*Assumptions!$N$124*'Phase I Pro Forma'!R240</f>
        <v>2.8515217736923586E-6</v>
      </c>
      <c r="S247" s="34">
        <f>+S236*Assumptions!$N$124*'Phase I Pro Forma'!S240</f>
        <v>2.9370674269031294E-6</v>
      </c>
      <c r="T247" s="34">
        <f>+T236*Assumptions!$N$124*'Phase I Pro Forma'!T240</f>
        <v>3.0251794497102237E-6</v>
      </c>
      <c r="U247" s="34">
        <f>+U236*Assumptions!$N$124*'Phase I Pro Forma'!U240</f>
        <v>3.1159348332015305E-6</v>
      </c>
      <c r="V247" s="34">
        <f>+V236*Assumptions!$N$124*'Phase I Pro Forma'!V240</f>
        <v>3.2094128781975768E-6</v>
      </c>
      <c r="W247" s="34">
        <f>+W236*Assumptions!$N$124*'Phase I Pro Forma'!W240</f>
        <v>3.3056952645435039E-6</v>
      </c>
      <c r="X247" s="34">
        <f>+X236*Assumptions!$N$124*'Phase I Pro Forma'!X240</f>
        <v>3.4048661224798089E-6</v>
      </c>
      <c r="Y247" s="34">
        <f>+Y236*Assumptions!$N$124*'Phase I Pro Forma'!Y240</f>
        <v>3.5070121061542033E-6</v>
      </c>
      <c r="Z247" s="34">
        <f>+Z236*Assumptions!$N$124*'Phase I Pro Forma'!Z240</f>
        <v>3.6122224693388301E-6</v>
      </c>
    </row>
    <row r="248" spans="2:26" x14ac:dyDescent="0.35">
      <c r="B248" s="33" t="s">
        <v>331</v>
      </c>
      <c r="F248" s="151">
        <f ca="1">+IFERROR(INDEX('Taxes and TIF'!$M$11:$M$45,MATCH('Phase I Pro Forma'!F$7,'Taxes and TIF'!$B$11:$B$45,0)),0)*'Loan Sizing'!$I$52*F237</f>
        <v>0</v>
      </c>
      <c r="G248" s="151">
        <f ca="1">+IFERROR(INDEX('Taxes and TIF'!$M$11:$M$45,MATCH('Phase I Pro Forma'!G$7,'Taxes and TIF'!$B$11:$B$45,0)),0)*'Loan Sizing'!$I$52*G237</f>
        <v>0</v>
      </c>
      <c r="H248" s="151">
        <f ca="1">+IFERROR(INDEX('Taxes and TIF'!$M$11:$M$45,MATCH('Phase I Pro Forma'!H$7,'Taxes and TIF'!$B$11:$B$45,0)),0)*'Loan Sizing'!$I$52*H237</f>
        <v>0</v>
      </c>
      <c r="I248" s="151">
        <f ca="1">+IFERROR(INDEX('Taxes and TIF'!$M$11:$M$45,MATCH('Phase I Pro Forma'!I$7,'Taxes and TIF'!$B$11:$B$45,0)),0)*'Loan Sizing'!$I$52*I237</f>
        <v>2.0054925726315785E-6</v>
      </c>
      <c r="J248" s="151">
        <f ca="1">+IFERROR(INDEX('Taxes and TIF'!$M$11:$M$45,MATCH('Phase I Pro Forma'!J$7,'Taxes and TIF'!$B$11:$B$45,0)),0)*'Loan Sizing'!$I$52*J237</f>
        <v>4.0912048481684203E-6</v>
      </c>
      <c r="K248" s="151">
        <f ca="1">+IFERROR(INDEX('Taxes and TIF'!$M$11:$M$45,MATCH('Phase I Pro Forma'!K$7,'Taxes and TIF'!$B$11:$B$45,0)),0)*'Loan Sizing'!$I$52*K237</f>
        <v>4.0912048481684203E-6</v>
      </c>
      <c r="L248" s="151">
        <f ca="1">+IFERROR(INDEX('Taxes and TIF'!$M$11:$M$45,MATCH('Phase I Pro Forma'!L$7,'Taxes and TIF'!$B$11:$B$45,0)),0)*'Loan Sizing'!$I$52*L237</f>
        <v>4.0912048481684203E-6</v>
      </c>
      <c r="M248" s="151">
        <f ca="1">+IFERROR(INDEX('Taxes and TIF'!$M$11:$M$45,MATCH('Phase I Pro Forma'!M$7,'Taxes and TIF'!$B$11:$B$45,0)),0)*'Loan Sizing'!$I$52*M237</f>
        <v>4.1730289451317898E-6</v>
      </c>
      <c r="N248" s="151">
        <f ca="1">+IFERROR(INDEX('Taxes and TIF'!$M$11:$M$45,MATCH('Phase I Pro Forma'!N$7,'Taxes and TIF'!$B$11:$B$45,0)),0)*'Loan Sizing'!$I$52*N237</f>
        <v>4.1730289451317898E-6</v>
      </c>
      <c r="O248" s="151">
        <f ca="1">+IFERROR(INDEX('Taxes and TIF'!$M$11:$M$45,MATCH('Phase I Pro Forma'!O$7,'Taxes and TIF'!$B$11:$B$45,0)),0)*'Loan Sizing'!$I$52*O237</f>
        <v>4.1730289451317898E-6</v>
      </c>
      <c r="P248" s="151">
        <f ca="1">+IFERROR(INDEX('Taxes and TIF'!$M$11:$M$45,MATCH('Phase I Pro Forma'!P$7,'Taxes and TIF'!$B$11:$B$45,0)),0)*'Loan Sizing'!$I$52*P237</f>
        <v>4.2564895240344255E-6</v>
      </c>
      <c r="Q248" s="151">
        <f ca="1">+IFERROR(INDEX('Taxes and TIF'!$M$11:$M$45,MATCH('Phase I Pro Forma'!Q$7,'Taxes and TIF'!$B$11:$B$45,0)),0)*'Loan Sizing'!$I$52*Q237</f>
        <v>4.2564895240344255E-6</v>
      </c>
      <c r="R248" s="151">
        <f ca="1">+IFERROR(INDEX('Taxes and TIF'!$M$11:$M$45,MATCH('Phase I Pro Forma'!R$7,'Taxes and TIF'!$B$11:$B$45,0)),0)*'Loan Sizing'!$I$52*R237</f>
        <v>4.2564895240344255E-6</v>
      </c>
      <c r="S248" s="151">
        <f ca="1">+IFERROR(INDEX('Taxes and TIF'!$M$11:$M$45,MATCH('Phase I Pro Forma'!S$7,'Taxes and TIF'!$B$11:$B$45,0)),0)*'Loan Sizing'!$I$52*S237</f>
        <v>4.3416193145151142E-6</v>
      </c>
      <c r="T248" s="151">
        <f ca="1">+IFERROR(INDEX('Taxes and TIF'!$M$11:$M$45,MATCH('Phase I Pro Forma'!T$7,'Taxes and TIF'!$B$11:$B$45,0)),0)*'Loan Sizing'!$I$52*T237</f>
        <v>4.3416193145151142E-6</v>
      </c>
      <c r="U248" s="151">
        <f ca="1">+IFERROR(INDEX('Taxes and TIF'!$M$11:$M$45,MATCH('Phase I Pro Forma'!U$7,'Taxes and TIF'!$B$11:$B$45,0)),0)*'Loan Sizing'!$I$52*U237</f>
        <v>4.3416193145151142E-6</v>
      </c>
      <c r="V248" s="151">
        <f ca="1">+IFERROR(INDEX('Taxes and TIF'!$M$11:$M$45,MATCH('Phase I Pro Forma'!V$7,'Taxes and TIF'!$B$11:$B$45,0)),0)*'Loan Sizing'!$I$52*V237</f>
        <v>4.4284517008054163E-6</v>
      </c>
      <c r="W248" s="151">
        <f ca="1">+IFERROR(INDEX('Taxes and TIF'!$M$11:$M$45,MATCH('Phase I Pro Forma'!W$7,'Taxes and TIF'!$B$11:$B$45,0)),0)*'Loan Sizing'!$I$52*W237</f>
        <v>4.4284517008054163E-6</v>
      </c>
      <c r="X248" s="151">
        <f ca="1">+IFERROR(INDEX('Taxes and TIF'!$M$11:$M$45,MATCH('Phase I Pro Forma'!X$7,'Taxes and TIF'!$B$11:$B$45,0)),0)*'Loan Sizing'!$I$52*X237</f>
        <v>4.4284517008054163E-6</v>
      </c>
      <c r="Y248" s="151">
        <f ca="1">+IFERROR(INDEX('Taxes and TIF'!$M$11:$M$45,MATCH('Phase I Pro Forma'!Y$7,'Taxes and TIF'!$B$11:$B$45,0)),0)*'Loan Sizing'!$I$52*Y237</f>
        <v>4.5170207348215239E-6</v>
      </c>
      <c r="Z248" s="151">
        <f ca="1">+IFERROR(INDEX('Taxes and TIF'!$M$11:$M$45,MATCH('Phase I Pro Forma'!Z$7,'Taxes and TIF'!$B$11:$B$45,0)),0)*'Loan Sizing'!$I$52*Z237</f>
        <v>4.5170207348215239E-6</v>
      </c>
    </row>
    <row r="249" spans="2:26" x14ac:dyDescent="0.35">
      <c r="B249" s="137" t="s">
        <v>252</v>
      </c>
      <c r="C249" s="137"/>
      <c r="D249" s="137"/>
      <c r="E249" s="137"/>
      <c r="F249" s="129">
        <f ca="1">+SUM(F247:F248)</f>
        <v>0</v>
      </c>
      <c r="G249" s="129">
        <f t="shared" ref="G249" ca="1" si="426">+SUM(G247:G248)</f>
        <v>0</v>
      </c>
      <c r="H249" s="129">
        <f t="shared" ref="H249" ca="1" si="427">+SUM(H247:H248)</f>
        <v>0</v>
      </c>
      <c r="I249" s="129">
        <f t="shared" ref="I249" ca="1" si="428">+SUM(I247:I248)</f>
        <v>3.0982195726315788E-6</v>
      </c>
      <c r="J249" s="129">
        <f t="shared" ref="J249" ca="1" si="429">+SUM(J247:J248)</f>
        <v>6.3422224681684204E-6</v>
      </c>
      <c r="K249" s="129">
        <f t="shared" ref="K249" ca="1" si="430">+SUM(K247:K248)</f>
        <v>6.4097529967684209E-6</v>
      </c>
      <c r="L249" s="129">
        <f t="shared" ref="L249" ca="1" si="431">+SUM(L247:L248)</f>
        <v>6.4793094412264202E-6</v>
      </c>
      <c r="M249" s="129">
        <f t="shared" ref="M249" ca="1" si="432">+SUM(M247:M248)</f>
        <v>6.6327766759815295E-6</v>
      </c>
      <c r="N249" s="129">
        <f t="shared" ref="N249" ca="1" si="433">+SUM(N247:N248)</f>
        <v>6.7065691079070225E-6</v>
      </c>
      <c r="O249" s="129">
        <f t="shared" ref="O249" ca="1" si="434">+SUM(O247:O248)</f>
        <v>6.7825753127902795E-6</v>
      </c>
      <c r="P249" s="129">
        <f t="shared" ref="P249" ca="1" si="435">+SUM(P247:P248)</f>
        <v>6.9443222827226698E-6</v>
      </c>
      <c r="Q249" s="129">
        <f t="shared" ref="Q249" ca="1" si="436">+SUM(Q247:Q248)</f>
        <v>7.0249572654833178E-6</v>
      </c>
      <c r="R249" s="129">
        <f t="shared" ref="R249" ca="1" si="437">+SUM(R247:R248)</f>
        <v>7.1080112977267841E-6</v>
      </c>
      <c r="S249" s="129">
        <f t="shared" ref="S249" ca="1" si="438">+SUM(S247:S248)</f>
        <v>7.2786867414182441E-6</v>
      </c>
      <c r="T249" s="129">
        <f t="shared" ref="T249" ca="1" si="439">+SUM(T247:T248)</f>
        <v>7.3667987642253375E-6</v>
      </c>
      <c r="U249" s="129">
        <f t="shared" ref="U249" ca="1" si="440">+SUM(U247:U248)</f>
        <v>7.4575541477166443E-6</v>
      </c>
      <c r="V249" s="129">
        <f t="shared" ref="V249" ca="1" si="441">+SUM(V247:V248)</f>
        <v>7.6378645790029931E-6</v>
      </c>
      <c r="W249" s="129">
        <f t="shared" ref="W249" ca="1" si="442">+SUM(W247:W248)</f>
        <v>7.7341469653489202E-6</v>
      </c>
      <c r="X249" s="129">
        <f t="shared" ref="X249" ca="1" si="443">+SUM(X247:X248)</f>
        <v>7.8333178232852248E-6</v>
      </c>
      <c r="Y249" s="129">
        <f t="shared" ref="Y249" ca="1" si="444">+SUM(Y247:Y248)</f>
        <v>8.0240328409757272E-6</v>
      </c>
      <c r="Z249" s="129">
        <f t="shared" ref="Z249" ca="1" si="445">+SUM(Z247:Z248)</f>
        <v>8.129243204160354E-6</v>
      </c>
    </row>
    <row r="250" spans="2:26" x14ac:dyDescent="0.35">
      <c r="B250" s="33"/>
    </row>
    <row r="251" spans="2:26" x14ac:dyDescent="0.35">
      <c r="B251" s="138" t="s">
        <v>251</v>
      </c>
      <c r="C251" s="138"/>
      <c r="D251" s="138"/>
      <c r="E251" s="138"/>
      <c r="F251" s="139">
        <f ca="1">+F245-F249</f>
        <v>0</v>
      </c>
      <c r="G251" s="139">
        <f t="shared" ref="G251:Z251" ca="1" si="446">+G245-G249</f>
        <v>0</v>
      </c>
      <c r="H251" s="139">
        <f t="shared" ca="1" si="446"/>
        <v>0</v>
      </c>
      <c r="I251" s="139">
        <f t="shared" ca="1" si="446"/>
        <v>5.6399999999999994E-6</v>
      </c>
      <c r="J251" s="139">
        <f t="shared" ca="1" si="446"/>
        <v>1.128E-5</v>
      </c>
      <c r="K251" s="139">
        <f t="shared" ca="1" si="446"/>
        <v>1.1279999999999999E-5</v>
      </c>
      <c r="L251" s="139">
        <f t="shared" ca="1" si="446"/>
        <v>1.2408E-5</v>
      </c>
      <c r="M251" s="139">
        <f t="shared" ca="1" si="446"/>
        <v>1.2408000000000002E-5</v>
      </c>
      <c r="N251" s="139">
        <f t="shared" ca="1" si="446"/>
        <v>1.2408E-5</v>
      </c>
      <c r="O251" s="139">
        <f t="shared" ca="1" si="446"/>
        <v>1.2408E-5</v>
      </c>
      <c r="P251" s="139">
        <f t="shared" ca="1" si="446"/>
        <v>1.2408000000000002E-5</v>
      </c>
      <c r="Q251" s="139">
        <f t="shared" ca="1" si="446"/>
        <v>1.3648800000000004E-5</v>
      </c>
      <c r="R251" s="139">
        <f t="shared" ca="1" si="446"/>
        <v>1.3648800000000006E-5</v>
      </c>
      <c r="S251" s="139">
        <f t="shared" ca="1" si="446"/>
        <v>1.3648800000000002E-5</v>
      </c>
      <c r="T251" s="139">
        <f t="shared" ca="1" si="446"/>
        <v>1.3648800000000006E-5</v>
      </c>
      <c r="U251" s="139">
        <f t="shared" ca="1" si="446"/>
        <v>1.3648800000000006E-5</v>
      </c>
      <c r="V251" s="139">
        <f t="shared" ca="1" si="446"/>
        <v>1.5013680000000004E-5</v>
      </c>
      <c r="W251" s="139">
        <f t="shared" ca="1" si="446"/>
        <v>1.5013680000000005E-5</v>
      </c>
      <c r="X251" s="139">
        <f t="shared" ca="1" si="446"/>
        <v>1.5013680000000007E-5</v>
      </c>
      <c r="Y251" s="139">
        <f t="shared" ca="1" si="446"/>
        <v>1.5013680000000004E-5</v>
      </c>
      <c r="Z251" s="139">
        <f t="shared" ca="1" si="446"/>
        <v>1.5013680000000005E-5</v>
      </c>
    </row>
    <row r="252" spans="2:26" x14ac:dyDescent="0.35">
      <c r="B252" s="143" t="s">
        <v>257</v>
      </c>
      <c r="C252" s="141"/>
      <c r="D252" s="141"/>
      <c r="E252" s="141"/>
      <c r="F252" s="144" t="str">
        <f ca="1">+IFERROR(F251/F245,"")</f>
        <v/>
      </c>
      <c r="G252" s="144" t="str">
        <f t="shared" ref="G252" ca="1" si="447">+IFERROR(G251/G245,"")</f>
        <v/>
      </c>
      <c r="H252" s="144" t="str">
        <f t="shared" ref="H252" ca="1" si="448">+IFERROR(H251/H245,"")</f>
        <v/>
      </c>
      <c r="I252" s="145">
        <f t="shared" ref="I252" ca="1" si="449">+IFERROR(I251/I245,"")</f>
        <v>0.64544040729586205</v>
      </c>
      <c r="J252" s="145">
        <f t="shared" ref="J252" ca="1" si="450">+IFERROR(J251/J245,"")</f>
        <v>0.64010087379020564</v>
      </c>
      <c r="K252" s="145">
        <f t="shared" ref="K252" ca="1" si="451">+IFERROR(K251/K245,"")</f>
        <v>0.63765729244838176</v>
      </c>
      <c r="L252" s="145">
        <f t="shared" ref="L252" ca="1" si="452">+IFERROR(L251/L245,"")</f>
        <v>0.65694905029280359</v>
      </c>
      <c r="M252" s="145">
        <f t="shared" ref="M252" ca="1" si="453">+IFERROR(M251/M245,"")</f>
        <v>0.6516540901218455</v>
      </c>
      <c r="N252" s="145">
        <f t="shared" ref="N252" ca="1" si="454">+IFERROR(N251/N245,"")</f>
        <v>0.64913835776016782</v>
      </c>
      <c r="O252" s="145">
        <f t="shared" ref="O252" ca="1" si="455">+IFERROR(O251/O245,"")</f>
        <v>0.64656737996438396</v>
      </c>
      <c r="P252" s="145">
        <f t="shared" ref="P252" ca="1" si="456">+IFERROR(P251/P245,"")</f>
        <v>0.64116336110615479</v>
      </c>
      <c r="Q252" s="145">
        <f t="shared" ref="Q252" ca="1" si="457">+IFERROR(Q251/Q245,"")</f>
        <v>0.66019929637018093</v>
      </c>
      <c r="R252" s="145">
        <f t="shared" ref="R252" ca="1" si="458">+IFERROR(R251/R245,"")</f>
        <v>0.65755764718518073</v>
      </c>
      <c r="S252" s="145">
        <f t="shared" ref="S252" ca="1" si="459">+IFERROR(S251/S245,"")</f>
        <v>0.65219489414308085</v>
      </c>
      <c r="T252" s="145">
        <f t="shared" ref="T252" ca="1" si="460">+IFERROR(T251/T245,"")</f>
        <v>0.64946043903513373</v>
      </c>
      <c r="U252" s="145">
        <f t="shared" ref="U252" ca="1" si="461">+IFERROR(U251/U245,"")</f>
        <v>0.64666781882254043</v>
      </c>
      <c r="V252" s="145">
        <f t="shared" ref="V252" ca="1" si="462">+IFERROR(V251/V245,"")</f>
        <v>0.66281042988640326</v>
      </c>
      <c r="W252" s="145">
        <f t="shared" ref="W252" ca="1" si="463">+IFERROR(W251/W245,"")</f>
        <v>0.66000502038589837</v>
      </c>
      <c r="X252" s="145">
        <f t="shared" ref="X252" ca="1" si="464">+IFERROR(X251/X245,"")</f>
        <v>0.65714016853007906</v>
      </c>
      <c r="Y252" s="145">
        <f t="shared" ref="Y252" ca="1" si="465">+IFERROR(Y251/Y245,"")</f>
        <v>0.65170011032067887</v>
      </c>
      <c r="Z252" s="145">
        <f t="shared" ref="Z252" ca="1" si="466">+IFERROR(Z251/Z245,"")</f>
        <v>0.64873740743783936</v>
      </c>
    </row>
    <row r="253" spans="2:26" x14ac:dyDescent="0.35">
      <c r="B253" s="143" t="s">
        <v>191</v>
      </c>
      <c r="C253" s="141"/>
      <c r="D253" s="141"/>
      <c r="E253" s="141"/>
      <c r="F253" s="142">
        <f ca="1">+F251/Assumptions!$N$134</f>
        <v>0</v>
      </c>
      <c r="G253" s="142">
        <f ca="1">+G251/Assumptions!$N$134</f>
        <v>0</v>
      </c>
      <c r="H253" s="142">
        <f ca="1">+H251/Assumptions!$N$134</f>
        <v>0</v>
      </c>
      <c r="I253" s="142">
        <f ca="1">+I251/Assumptions!$N$134</f>
        <v>1.0254545454545453E-4</v>
      </c>
      <c r="J253" s="142">
        <f ca="1">+J251/Assumptions!$N$134</f>
        <v>2.0509090909090911E-4</v>
      </c>
      <c r="K253" s="142">
        <f ca="1">+K251/Assumptions!$N$134</f>
        <v>2.0509090909090905E-4</v>
      </c>
      <c r="L253" s="142">
        <f ca="1">+L251/Assumptions!$N$134</f>
        <v>2.2560000000000001E-4</v>
      </c>
      <c r="M253" s="142">
        <f ca="1">+M251/Assumptions!$N$134</f>
        <v>2.2560000000000004E-4</v>
      </c>
      <c r="N253" s="142">
        <f ca="1">+N251/Assumptions!$N$134</f>
        <v>2.2560000000000001E-4</v>
      </c>
      <c r="O253" s="142">
        <f ca="1">+O251/Assumptions!$N$134</f>
        <v>2.2560000000000001E-4</v>
      </c>
      <c r="P253" s="142">
        <f ca="1">+P251/Assumptions!$N$134</f>
        <v>2.2560000000000004E-4</v>
      </c>
      <c r="Q253" s="142">
        <f ca="1">+Q251/Assumptions!$N$134</f>
        <v>2.4816000000000009E-4</v>
      </c>
      <c r="R253" s="142">
        <f ca="1">+R251/Assumptions!$N$134</f>
        <v>2.4816000000000009E-4</v>
      </c>
      <c r="S253" s="142">
        <f ca="1">+S251/Assumptions!$N$134</f>
        <v>2.4816000000000004E-4</v>
      </c>
      <c r="T253" s="142">
        <f ca="1">+T251/Assumptions!$N$134</f>
        <v>2.4816000000000009E-4</v>
      </c>
      <c r="U253" s="142">
        <f ca="1">+U251/Assumptions!$N$134</f>
        <v>2.4816000000000009E-4</v>
      </c>
      <c r="V253" s="142">
        <f ca="1">+V251/Assumptions!$N$134</f>
        <v>2.7297600000000008E-4</v>
      </c>
      <c r="W253" s="142">
        <f ca="1">+W251/Assumptions!$N$134</f>
        <v>2.7297600000000008E-4</v>
      </c>
      <c r="X253" s="142">
        <f ca="1">+X251/Assumptions!$N$134</f>
        <v>2.7297600000000013E-4</v>
      </c>
      <c r="Y253" s="142">
        <f ca="1">+Y251/Assumptions!$N$134</f>
        <v>2.7297600000000008E-4</v>
      </c>
      <c r="Z253" s="142">
        <f ca="1">+Z251/Assumptions!$N$134</f>
        <v>2.7297600000000008E-4</v>
      </c>
    </row>
    <row r="255" spans="2:26" x14ac:dyDescent="0.35">
      <c r="B255" s="148" t="s">
        <v>31</v>
      </c>
      <c r="F255" s="150">
        <f>+Assumptions!$F$22</f>
        <v>44196</v>
      </c>
      <c r="G255" s="150">
        <f>+EOMONTH(F255,12)</f>
        <v>44561</v>
      </c>
      <c r="H255" s="150">
        <f t="shared" ref="H255:Z255" si="467">+EOMONTH(G255,12)</f>
        <v>44926</v>
      </c>
      <c r="I255" s="150">
        <f t="shared" si="467"/>
        <v>45291</v>
      </c>
      <c r="J255" s="150">
        <f t="shared" si="467"/>
        <v>45657</v>
      </c>
      <c r="K255" s="150">
        <f t="shared" si="467"/>
        <v>46022</v>
      </c>
      <c r="L255" s="150">
        <f t="shared" si="467"/>
        <v>46387</v>
      </c>
      <c r="M255" s="150">
        <f t="shared" si="467"/>
        <v>46752</v>
      </c>
      <c r="N255" s="150">
        <f t="shared" si="467"/>
        <v>47118</v>
      </c>
      <c r="O255" s="150">
        <f t="shared" si="467"/>
        <v>47483</v>
      </c>
      <c r="P255" s="150">
        <f t="shared" si="467"/>
        <v>47848</v>
      </c>
      <c r="Q255" s="150">
        <f t="shared" si="467"/>
        <v>48213</v>
      </c>
      <c r="R255" s="150">
        <f t="shared" si="467"/>
        <v>48579</v>
      </c>
      <c r="S255" s="150">
        <f t="shared" si="467"/>
        <v>48944</v>
      </c>
      <c r="T255" s="150">
        <f t="shared" si="467"/>
        <v>49309</v>
      </c>
      <c r="U255" s="150">
        <f t="shared" si="467"/>
        <v>49674</v>
      </c>
      <c r="V255" s="150">
        <f t="shared" si="467"/>
        <v>50040</v>
      </c>
      <c r="W255" s="150">
        <f t="shared" si="467"/>
        <v>50405</v>
      </c>
      <c r="X255" s="150">
        <f t="shared" si="467"/>
        <v>50770</v>
      </c>
      <c r="Y255" s="150">
        <f t="shared" si="467"/>
        <v>51135</v>
      </c>
      <c r="Z255" s="150">
        <f t="shared" si="467"/>
        <v>51501</v>
      </c>
    </row>
    <row r="256" spans="2:26" x14ac:dyDescent="0.35">
      <c r="B256" s="33" t="s">
        <v>337</v>
      </c>
      <c r="F256" s="34">
        <v>0</v>
      </c>
      <c r="G256" s="34">
        <f t="shared" ref="G256:N256" si="468">+F259</f>
        <v>0</v>
      </c>
      <c r="H256" s="34">
        <f t="shared" si="468"/>
        <v>0</v>
      </c>
      <c r="I256" s="34">
        <f t="shared" si="468"/>
        <v>0</v>
      </c>
      <c r="J256" s="34">
        <f t="shared" ca="1" si="468"/>
        <v>1.5381818181818178E-4</v>
      </c>
      <c r="K256" s="34">
        <f t="shared" ca="1" si="468"/>
        <v>1.5381818181818178E-4</v>
      </c>
      <c r="L256" s="34">
        <f t="shared" ca="1" si="468"/>
        <v>1.5381818181818178E-4</v>
      </c>
      <c r="M256" s="34">
        <f t="shared" ca="1" si="468"/>
        <v>1.5381818181818178E-4</v>
      </c>
      <c r="N256" s="34">
        <f t="shared" ca="1" si="468"/>
        <v>1.5381818181818178E-4</v>
      </c>
      <c r="O256" s="34">
        <f t="shared" ref="O256:Z256" ca="1" si="469">+N259</f>
        <v>1.5381818181818178E-4</v>
      </c>
      <c r="P256" s="34">
        <f t="shared" ca="1" si="469"/>
        <v>1.5381818181818178E-4</v>
      </c>
      <c r="Q256" s="34">
        <f t="shared" ca="1" si="469"/>
        <v>1.5381818181818178E-4</v>
      </c>
      <c r="R256" s="34">
        <f t="shared" ca="1" si="469"/>
        <v>1.5381818181818178E-4</v>
      </c>
      <c r="S256" s="34">
        <f t="shared" ca="1" si="469"/>
        <v>1.5381818181818178E-4</v>
      </c>
      <c r="T256" s="34">
        <f t="shared" ca="1" si="469"/>
        <v>1.5381818181818178E-4</v>
      </c>
      <c r="U256" s="34">
        <f t="shared" ca="1" si="469"/>
        <v>1.5381818181818178E-4</v>
      </c>
      <c r="V256" s="34">
        <f t="shared" ca="1" si="469"/>
        <v>1.5381818181818178E-4</v>
      </c>
      <c r="W256" s="34">
        <f t="shared" ca="1" si="469"/>
        <v>1.5381818181818178E-4</v>
      </c>
      <c r="X256" s="34">
        <f t="shared" ca="1" si="469"/>
        <v>1.5381818181818178E-4</v>
      </c>
      <c r="Y256" s="34">
        <f t="shared" ca="1" si="469"/>
        <v>1.5381818181818178E-4</v>
      </c>
      <c r="Z256" s="34">
        <f t="shared" ca="1" si="469"/>
        <v>1.5381818181818178E-4</v>
      </c>
    </row>
    <row r="257" spans="2:26" x14ac:dyDescent="0.35">
      <c r="B257" s="33" t="s">
        <v>348</v>
      </c>
      <c r="F257" s="151">
        <f>+IF(YEAR(F$140)=YEAR(Assumptions!$F$26),'S&amp;U'!$R$19,0)</f>
        <v>0</v>
      </c>
      <c r="G257" s="151">
        <f>+IF(YEAR(G$140)=YEAR(Assumptions!$F$26),'S&amp;U'!$R$19,0)</f>
        <v>0</v>
      </c>
      <c r="H257" s="151">
        <f>+IF(YEAR(H$140)=YEAR(Assumptions!$F$26),'S&amp;U'!$R$19,0)</f>
        <v>0</v>
      </c>
      <c r="I257" s="151">
        <f ca="1">+IF(YEAR(I$140)=YEAR(Assumptions!$F$26),'S&amp;U'!$R$19,0)</f>
        <v>1.5381818181818178E-4</v>
      </c>
      <c r="J257" s="151">
        <f>+IF(YEAR(J$140)=YEAR(Assumptions!$F$26),'S&amp;U'!$R$19,0)</f>
        <v>0</v>
      </c>
      <c r="K257" s="151">
        <f>+IF(YEAR(K$140)=YEAR(Assumptions!$F$26),'S&amp;U'!$R$19,0)</f>
        <v>0</v>
      </c>
      <c r="L257" s="151">
        <f>+IF(YEAR(L$140)=YEAR(Assumptions!$F$26),'S&amp;U'!$R$19,0)</f>
        <v>0</v>
      </c>
      <c r="M257" s="151">
        <f>+IF(YEAR(M$140)=YEAR(Assumptions!$F$26),'S&amp;U'!$R$19,0)</f>
        <v>0</v>
      </c>
      <c r="N257" s="151">
        <f>+IF(YEAR(N$140)=YEAR(Assumptions!$F$26),'S&amp;U'!$R$19,0)</f>
        <v>0</v>
      </c>
      <c r="O257" s="151">
        <f>+IF(YEAR(O$140)=YEAR(Assumptions!$F$26),'S&amp;U'!$R$19,0)</f>
        <v>0</v>
      </c>
      <c r="P257" s="151">
        <f>+IF(YEAR(P$140)=YEAR(Assumptions!$F$26),'S&amp;U'!$R$19,0)</f>
        <v>0</v>
      </c>
      <c r="Q257" s="151">
        <f>+IF(YEAR(Q$140)=YEAR(Assumptions!$F$26),'S&amp;U'!$R$19,0)</f>
        <v>0</v>
      </c>
      <c r="R257" s="151">
        <f>+IF(YEAR(R$140)=YEAR(Assumptions!$F$26),'S&amp;U'!$R$19,0)</f>
        <v>0</v>
      </c>
      <c r="S257" s="151">
        <f>+IF(YEAR(S$140)=YEAR(Assumptions!$F$26),'S&amp;U'!$R$19,0)</f>
        <v>0</v>
      </c>
      <c r="T257" s="151">
        <f>+IF(YEAR(T$140)=YEAR(Assumptions!$F$26),'S&amp;U'!$R$19,0)</f>
        <v>0</v>
      </c>
      <c r="U257" s="151">
        <f>+IF(YEAR(U$140)=YEAR(Assumptions!$F$26),'S&amp;U'!$R$19,0)</f>
        <v>0</v>
      </c>
      <c r="V257" s="151">
        <f>+IF(YEAR(V$140)=YEAR(Assumptions!$F$26),'S&amp;U'!$R$19,0)</f>
        <v>0</v>
      </c>
      <c r="W257" s="151">
        <f>+IF(YEAR(W$140)=YEAR(Assumptions!$F$26),'S&amp;U'!$R$19,0)</f>
        <v>0</v>
      </c>
      <c r="X257" s="151">
        <f>+IF(YEAR(X$140)=YEAR(Assumptions!$F$26),'S&amp;U'!$R$19,0)</f>
        <v>0</v>
      </c>
      <c r="Y257" s="151">
        <f>+IF(YEAR(Y$140)=YEAR(Assumptions!$F$26),'S&amp;U'!$R$19,0)</f>
        <v>0</v>
      </c>
      <c r="Z257" s="151">
        <f>+IF(YEAR(Z$140)=YEAR(Assumptions!$F$26),'S&amp;U'!$R$19,0)</f>
        <v>0</v>
      </c>
    </row>
    <row r="258" spans="2:26" x14ac:dyDescent="0.35">
      <c r="B258" s="33" t="s">
        <v>165</v>
      </c>
      <c r="F258" s="151">
        <v>0</v>
      </c>
      <c r="G258" s="151">
        <v>0</v>
      </c>
      <c r="H258" s="151">
        <v>0</v>
      </c>
      <c r="I258" s="151">
        <v>0</v>
      </c>
      <c r="J258" s="151">
        <v>0</v>
      </c>
      <c r="K258" s="151">
        <v>0</v>
      </c>
      <c r="L258" s="151">
        <v>0</v>
      </c>
      <c r="M258" s="151">
        <v>0</v>
      </c>
      <c r="N258" s="151">
        <v>0</v>
      </c>
      <c r="O258" s="151">
        <v>0</v>
      </c>
      <c r="P258" s="151">
        <v>0</v>
      </c>
      <c r="Q258" s="151">
        <v>0</v>
      </c>
      <c r="R258" s="151">
        <v>0</v>
      </c>
      <c r="S258" s="151">
        <v>0</v>
      </c>
      <c r="T258" s="151">
        <v>0</v>
      </c>
      <c r="U258" s="151">
        <v>0</v>
      </c>
      <c r="V258" s="151">
        <v>0</v>
      </c>
      <c r="W258" s="151">
        <v>0</v>
      </c>
      <c r="X258" s="151">
        <v>0</v>
      </c>
      <c r="Y258" s="151">
        <v>0</v>
      </c>
      <c r="Z258" s="151">
        <v>0</v>
      </c>
    </row>
    <row r="259" spans="2:26" x14ac:dyDescent="0.35">
      <c r="B259" s="33" t="s">
        <v>339</v>
      </c>
      <c r="F259" s="151">
        <f t="shared" ref="F259:N259" si="470">+SUM(F256:F258)</f>
        <v>0</v>
      </c>
      <c r="G259" s="151">
        <f t="shared" si="470"/>
        <v>0</v>
      </c>
      <c r="H259" s="151">
        <f t="shared" si="470"/>
        <v>0</v>
      </c>
      <c r="I259" s="151">
        <f t="shared" ca="1" si="470"/>
        <v>1.5381818181818178E-4</v>
      </c>
      <c r="J259" s="151">
        <f t="shared" ca="1" si="470"/>
        <v>1.5381818181818178E-4</v>
      </c>
      <c r="K259" s="151">
        <f t="shared" ca="1" si="470"/>
        <v>1.5381818181818178E-4</v>
      </c>
      <c r="L259" s="151">
        <f t="shared" ca="1" si="470"/>
        <v>1.5381818181818178E-4</v>
      </c>
      <c r="M259" s="151">
        <f t="shared" ca="1" si="470"/>
        <v>1.5381818181818178E-4</v>
      </c>
      <c r="N259" s="151">
        <f t="shared" ca="1" si="470"/>
        <v>1.5381818181818178E-4</v>
      </c>
      <c r="O259" s="151">
        <f t="shared" ref="O259" ca="1" si="471">+SUM(O256:O258)</f>
        <v>1.5381818181818178E-4</v>
      </c>
      <c r="P259" s="151">
        <f t="shared" ref="P259" ca="1" si="472">+SUM(P256:P258)</f>
        <v>1.5381818181818178E-4</v>
      </c>
      <c r="Q259" s="151">
        <f t="shared" ref="Q259" ca="1" si="473">+SUM(Q256:Q258)</f>
        <v>1.5381818181818178E-4</v>
      </c>
      <c r="R259" s="151">
        <f t="shared" ref="R259" ca="1" si="474">+SUM(R256:R258)</f>
        <v>1.5381818181818178E-4</v>
      </c>
      <c r="S259" s="151">
        <f t="shared" ref="S259" ca="1" si="475">+SUM(S256:S258)</f>
        <v>1.5381818181818178E-4</v>
      </c>
      <c r="T259" s="151">
        <f t="shared" ref="T259" ca="1" si="476">+SUM(T256:T258)</f>
        <v>1.5381818181818178E-4</v>
      </c>
      <c r="U259" s="151">
        <f t="shared" ref="U259" ca="1" si="477">+SUM(U256:U258)</f>
        <v>1.5381818181818178E-4</v>
      </c>
      <c r="V259" s="151">
        <f t="shared" ref="V259" ca="1" si="478">+SUM(V256:V258)</f>
        <v>1.5381818181818178E-4</v>
      </c>
      <c r="W259" s="151">
        <f t="shared" ref="W259" ca="1" si="479">+SUM(W256:W258)</f>
        <v>1.5381818181818178E-4</v>
      </c>
      <c r="X259" s="151">
        <f t="shared" ref="X259" ca="1" si="480">+SUM(X256:X258)</f>
        <v>1.5381818181818178E-4</v>
      </c>
      <c r="Y259" s="151">
        <f t="shared" ref="Y259" ca="1" si="481">+SUM(Y256:Y258)</f>
        <v>1.5381818181818178E-4</v>
      </c>
      <c r="Z259" s="151">
        <f t="shared" ref="Z259" ca="1" si="482">+SUM(Z256:Z258)</f>
        <v>1.5381818181818178E-4</v>
      </c>
    </row>
    <row r="261" spans="2:26" x14ac:dyDescent="0.35">
      <c r="B261" s="41" t="s">
        <v>338</v>
      </c>
      <c r="F261" s="34">
        <f>+F259*Assumptions!$N$163</f>
        <v>0</v>
      </c>
      <c r="G261" s="34">
        <f>+G259*Assumptions!$N$163</f>
        <v>0</v>
      </c>
      <c r="H261" s="34">
        <f>+H259*Assumptions!$N$163</f>
        <v>0</v>
      </c>
      <c r="I261" s="34">
        <f ca="1">+I259*Assumptions!$N$163</f>
        <v>8.4599999999999986E-6</v>
      </c>
      <c r="J261" s="34">
        <f ca="1">+J259*Assumptions!$N$163</f>
        <v>8.4599999999999986E-6</v>
      </c>
      <c r="K261" s="34">
        <f ca="1">+K259*Assumptions!$N$163</f>
        <v>8.4599999999999986E-6</v>
      </c>
      <c r="L261" s="34">
        <f ca="1">+L259*Assumptions!$N$163</f>
        <v>8.4599999999999986E-6</v>
      </c>
      <c r="M261" s="34">
        <f ca="1">+M259*Assumptions!$N$163</f>
        <v>8.4599999999999986E-6</v>
      </c>
      <c r="N261" s="34">
        <f ca="1">+N259*Assumptions!$N$163</f>
        <v>8.4599999999999986E-6</v>
      </c>
      <c r="O261" s="34">
        <f ca="1">+O259*Assumptions!$N$163</f>
        <v>8.4599999999999986E-6</v>
      </c>
      <c r="P261" s="34">
        <f ca="1">+P259*Assumptions!$N$163</f>
        <v>8.4599999999999986E-6</v>
      </c>
      <c r="Q261" s="34">
        <f ca="1">+Q259*Assumptions!$N$163</f>
        <v>8.4599999999999986E-6</v>
      </c>
      <c r="R261" s="34">
        <f ca="1">+R259*Assumptions!$N$163</f>
        <v>8.4599999999999986E-6</v>
      </c>
      <c r="S261" s="34">
        <f ca="1">+S259*Assumptions!$N$163</f>
        <v>8.4599999999999986E-6</v>
      </c>
      <c r="T261" s="34">
        <f ca="1">+T259*Assumptions!$N$163</f>
        <v>8.4599999999999986E-6</v>
      </c>
      <c r="U261" s="34">
        <f ca="1">+U259*Assumptions!$N$163</f>
        <v>8.4599999999999986E-6</v>
      </c>
      <c r="V261" s="34">
        <f ca="1">+V259*Assumptions!$N$163</f>
        <v>8.4599999999999986E-6</v>
      </c>
      <c r="W261" s="34">
        <f ca="1">+W259*Assumptions!$N$163</f>
        <v>8.4599999999999986E-6</v>
      </c>
      <c r="X261" s="34">
        <f ca="1">+X259*Assumptions!$N$163</f>
        <v>8.4599999999999986E-6</v>
      </c>
      <c r="Y261" s="34">
        <f ca="1">+Y259*Assumptions!$N$163</f>
        <v>8.4599999999999986E-6</v>
      </c>
      <c r="Z261" s="34">
        <f ca="1">+Z259*Assumptions!$N$163</f>
        <v>8.4599999999999986E-6</v>
      </c>
    </row>
    <row r="262" spans="2:26" x14ac:dyDescent="0.35">
      <c r="B262" s="137" t="s">
        <v>347</v>
      </c>
      <c r="C262" s="137"/>
      <c r="D262" s="137"/>
      <c r="E262" s="137"/>
      <c r="F262" s="129">
        <f t="shared" ref="F262" si="483">+F261-F258</f>
        <v>0</v>
      </c>
      <c r="G262" s="129">
        <f t="shared" ref="G262" si="484">+G261-G258</f>
        <v>0</v>
      </c>
      <c r="H262" s="129">
        <f t="shared" ref="H262" si="485">+H261-H258</f>
        <v>0</v>
      </c>
      <c r="I262" s="129">
        <f t="shared" ref="I262" ca="1" si="486">+I261-I258</f>
        <v>8.4599999999999986E-6</v>
      </c>
      <c r="J262" s="129">
        <f t="shared" ref="J262" ca="1" si="487">+J261-J258</f>
        <v>8.4599999999999986E-6</v>
      </c>
      <c r="K262" s="129">
        <f t="shared" ref="K262" ca="1" si="488">+K261-K258</f>
        <v>8.4599999999999986E-6</v>
      </c>
      <c r="L262" s="129">
        <f ca="1">+L261-L258</f>
        <v>8.4599999999999986E-6</v>
      </c>
      <c r="M262" s="129">
        <f t="shared" ref="M262" ca="1" si="489">+M261-M258</f>
        <v>8.4599999999999986E-6</v>
      </c>
      <c r="N262" s="129">
        <f t="shared" ref="N262" ca="1" si="490">+N261-N258</f>
        <v>8.4599999999999986E-6</v>
      </c>
      <c r="O262" s="129">
        <f t="shared" ref="O262" ca="1" si="491">+O261-O258</f>
        <v>8.4599999999999986E-6</v>
      </c>
      <c r="P262" s="129">
        <f t="shared" ref="P262" ca="1" si="492">+P261-P258</f>
        <v>8.4599999999999986E-6</v>
      </c>
      <c r="Q262" s="129">
        <f t="shared" ref="Q262" ca="1" si="493">+Q261-Q258</f>
        <v>8.4599999999999986E-6</v>
      </c>
      <c r="R262" s="129">
        <f t="shared" ref="R262" ca="1" si="494">+R261-R258</f>
        <v>8.4599999999999986E-6</v>
      </c>
      <c r="S262" s="129">
        <f t="shared" ref="S262" ca="1" si="495">+S261-S258</f>
        <v>8.4599999999999986E-6</v>
      </c>
      <c r="T262" s="129">
        <f t="shared" ref="T262" ca="1" si="496">+T261-T258</f>
        <v>8.4599999999999986E-6</v>
      </c>
      <c r="U262" s="129">
        <f t="shared" ref="U262" ca="1" si="497">+U261-U258</f>
        <v>8.4599999999999986E-6</v>
      </c>
      <c r="V262" s="129">
        <f t="shared" ref="V262" ca="1" si="498">+V261-V258</f>
        <v>8.4599999999999986E-6</v>
      </c>
      <c r="W262" s="129">
        <f t="shared" ref="W262" ca="1" si="499">+W261-W258</f>
        <v>8.4599999999999986E-6</v>
      </c>
      <c r="X262" s="129">
        <f t="shared" ref="X262" ca="1" si="500">+X261-X258</f>
        <v>8.4599999999999986E-6</v>
      </c>
      <c r="Y262" s="129">
        <f t="shared" ref="Y262" ca="1" si="501">+Y261-Y258</f>
        <v>8.4599999999999986E-6</v>
      </c>
      <c r="Z262" s="129">
        <f t="shared" ref="Z262" ca="1" si="502">+Z261-Z258</f>
        <v>8.4599999999999986E-6</v>
      </c>
    </row>
    <row r="263" spans="2:26" x14ac:dyDescent="0.35">
      <c r="B263" s="146" t="s">
        <v>184</v>
      </c>
      <c r="F263" s="180" t="str">
        <f t="shared" ref="F263" ca="1" si="503">+IFERROR(F251/F262,"")</f>
        <v/>
      </c>
      <c r="G263" s="180" t="str">
        <f t="shared" ref="G263" ca="1" si="504">+IFERROR(G251/G262,"")</f>
        <v/>
      </c>
      <c r="H263" s="180" t="str">
        <f t="shared" ref="H263" ca="1" si="505">+IFERROR(H251/H262,"")</f>
        <v/>
      </c>
      <c r="I263" s="180">
        <f t="shared" ref="I263" ca="1" si="506">+IFERROR(I251/I262,"")</f>
        <v>0.66666666666666674</v>
      </c>
      <c r="J263" s="180">
        <f t="shared" ref="J263" ca="1" si="507">+IFERROR(J251/J262,"")</f>
        <v>1.3333333333333337</v>
      </c>
      <c r="K263" s="180">
        <f ca="1">+IFERROR(K251/K262,"")</f>
        <v>1.3333333333333335</v>
      </c>
      <c r="L263" s="180">
        <f t="shared" ref="L263" ca="1" si="508">+IFERROR(L251/L262,"")</f>
        <v>1.466666666666667</v>
      </c>
      <c r="M263" s="180">
        <f t="shared" ref="M263" ca="1" si="509">+IFERROR(M251/M262,"")</f>
        <v>1.4666666666666672</v>
      </c>
      <c r="N263" s="180">
        <f t="shared" ref="N263" ca="1" si="510">+IFERROR(N251/N262,"")</f>
        <v>1.466666666666667</v>
      </c>
      <c r="O263" s="180">
        <f t="shared" ref="O263" ca="1" si="511">+IFERROR(O251/O262,"")</f>
        <v>1.466666666666667</v>
      </c>
      <c r="P263" s="180">
        <f t="shared" ref="P263" ca="1" si="512">+IFERROR(P251/P262,"")</f>
        <v>1.4666666666666672</v>
      </c>
      <c r="Q263" s="180">
        <f t="shared" ref="Q263" ca="1" si="513">+IFERROR(Q251/Q262,"")</f>
        <v>1.613333333333334</v>
      </c>
      <c r="R263" s="180">
        <f t="shared" ref="R263" ca="1" si="514">+IFERROR(R251/R262,"")</f>
        <v>1.6133333333333342</v>
      </c>
      <c r="S263" s="180">
        <f t="shared" ref="S263" ca="1" si="515">+IFERROR(S251/S262,"")</f>
        <v>1.613333333333334</v>
      </c>
      <c r="T263" s="180">
        <f t="shared" ref="T263" ca="1" si="516">+IFERROR(T251/T262,"")</f>
        <v>1.6133333333333342</v>
      </c>
      <c r="U263" s="180">
        <f t="shared" ref="U263" ca="1" si="517">+IFERROR(U251/U262,"")</f>
        <v>1.6133333333333342</v>
      </c>
      <c r="V263" s="180">
        <f t="shared" ref="V263" ca="1" si="518">+IFERROR(V251/V262,"")</f>
        <v>1.7746666666666673</v>
      </c>
      <c r="W263" s="180">
        <f t="shared" ref="W263" ca="1" si="519">+IFERROR(W251/W262,"")</f>
        <v>1.7746666666666675</v>
      </c>
      <c r="X263" s="180">
        <f t="shared" ref="X263" ca="1" si="520">+IFERROR(X251/X262,"")</f>
        <v>1.7746666666666677</v>
      </c>
      <c r="Y263" s="180">
        <f t="shared" ref="Y263" ca="1" si="521">+IFERROR(Y251/Y262,"")</f>
        <v>1.7746666666666673</v>
      </c>
      <c r="Z263" s="180">
        <f t="shared" ref="Z263" ca="1" si="522">+IFERROR(Z251/Z262,"")</f>
        <v>1.7746666666666675</v>
      </c>
    </row>
    <row r="265" spans="2:26" x14ac:dyDescent="0.35">
      <c r="B265" s="41" t="s">
        <v>159</v>
      </c>
      <c r="F265" s="34">
        <f>+F257*Assumptions!$N$164</f>
        <v>0</v>
      </c>
      <c r="G265" s="34">
        <f>+G257*Assumptions!$N$164</f>
        <v>0</v>
      </c>
      <c r="H265" s="34">
        <f>+H257*Assumptions!$N$164</f>
        <v>0</v>
      </c>
      <c r="I265" s="34">
        <f ca="1">+I257*Assumptions!$N$164</f>
        <v>1.1536363636363633E-6</v>
      </c>
      <c r="J265" s="34">
        <f>+J257*Assumptions!$N$164</f>
        <v>0</v>
      </c>
      <c r="K265" s="34">
        <f>+K257*Assumptions!$N$164</f>
        <v>0</v>
      </c>
      <c r="L265" s="34">
        <f>+L257*Assumptions!$N$164</f>
        <v>0</v>
      </c>
      <c r="M265" s="34">
        <f>+M257*Assumptions!$N$164</f>
        <v>0</v>
      </c>
      <c r="N265" s="34">
        <f>+N257*Assumptions!$N$164</f>
        <v>0</v>
      </c>
      <c r="O265" s="34">
        <f>+O257*Assumptions!$N$164</f>
        <v>0</v>
      </c>
      <c r="P265" s="34">
        <f>+P257*Assumptions!$N$164</f>
        <v>0</v>
      </c>
      <c r="Q265" s="34">
        <f>+Q257*Assumptions!$N$164</f>
        <v>0</v>
      </c>
      <c r="R265" s="34">
        <f>+R257*Assumptions!$N$164</f>
        <v>0</v>
      </c>
      <c r="S265" s="34">
        <f>+S257*Assumptions!$N$164</f>
        <v>0</v>
      </c>
      <c r="T265" s="34">
        <f>+T257*Assumptions!$N$164</f>
        <v>0</v>
      </c>
      <c r="U265" s="34">
        <f>+U257*Assumptions!$N$164</f>
        <v>0</v>
      </c>
      <c r="V265" s="34">
        <f>+V257*Assumptions!$N$164</f>
        <v>0</v>
      </c>
      <c r="W265" s="34">
        <f>+W257*Assumptions!$N$164</f>
        <v>0</v>
      </c>
      <c r="X265" s="34">
        <f>+X257*Assumptions!$N$164</f>
        <v>0</v>
      </c>
      <c r="Y265" s="34">
        <f>+Y257*Assumptions!$N$164</f>
        <v>0</v>
      </c>
      <c r="Z265" s="34">
        <f>+Z257*Assumptions!$N$164</f>
        <v>0</v>
      </c>
    </row>
    <row r="267" spans="2:26" x14ac:dyDescent="0.35">
      <c r="B267" s="137" t="s">
        <v>340</v>
      </c>
      <c r="C267" s="137"/>
      <c r="D267" s="137"/>
      <c r="E267" s="137"/>
      <c r="F267" s="129">
        <f ca="1">+F251-F262-F265</f>
        <v>0</v>
      </c>
      <c r="G267" s="129">
        <f t="shared" ref="G267:Z267" ca="1" si="523">+G251-G262-G265</f>
        <v>0</v>
      </c>
      <c r="H267" s="129">
        <f t="shared" ca="1" si="523"/>
        <v>0</v>
      </c>
      <c r="I267" s="129">
        <f t="shared" ca="1" si="523"/>
        <v>-3.9736363636363626E-6</v>
      </c>
      <c r="J267" s="129">
        <f t="shared" ca="1" si="523"/>
        <v>2.8200000000000018E-6</v>
      </c>
      <c r="K267" s="129">
        <f t="shared" ca="1" si="523"/>
        <v>2.8200000000000001E-6</v>
      </c>
      <c r="L267" s="129">
        <f t="shared" ca="1" si="523"/>
        <v>3.9480000000000018E-6</v>
      </c>
      <c r="M267" s="129">
        <f t="shared" ca="1" si="523"/>
        <v>3.9480000000000035E-6</v>
      </c>
      <c r="N267" s="129">
        <f t="shared" ca="1" si="523"/>
        <v>3.9480000000000018E-6</v>
      </c>
      <c r="O267" s="129">
        <f t="shared" ca="1" si="523"/>
        <v>3.9480000000000018E-6</v>
      </c>
      <c r="P267" s="129">
        <f t="shared" ca="1" si="523"/>
        <v>3.9480000000000035E-6</v>
      </c>
      <c r="Q267" s="129">
        <f t="shared" ca="1" si="523"/>
        <v>5.1888000000000053E-6</v>
      </c>
      <c r="R267" s="129">
        <f t="shared" ca="1" si="523"/>
        <v>5.188800000000007E-6</v>
      </c>
      <c r="S267" s="129">
        <f t="shared" ca="1" si="523"/>
        <v>5.1888000000000036E-6</v>
      </c>
      <c r="T267" s="129">
        <f t="shared" ca="1" si="523"/>
        <v>5.188800000000007E-6</v>
      </c>
      <c r="U267" s="129">
        <f t="shared" ca="1" si="523"/>
        <v>5.188800000000007E-6</v>
      </c>
      <c r="V267" s="129">
        <f t="shared" ca="1" si="523"/>
        <v>6.553680000000005E-6</v>
      </c>
      <c r="W267" s="129">
        <f t="shared" ca="1" si="523"/>
        <v>6.5536800000000067E-6</v>
      </c>
      <c r="X267" s="129">
        <f t="shared" ca="1" si="523"/>
        <v>6.5536800000000084E-6</v>
      </c>
      <c r="Y267" s="129">
        <f t="shared" ca="1" si="523"/>
        <v>6.553680000000005E-6</v>
      </c>
      <c r="Z267" s="129">
        <f t="shared" ca="1" si="523"/>
        <v>6.5536800000000067E-6</v>
      </c>
    </row>
    <row r="269" spans="2:26" x14ac:dyDescent="0.35">
      <c r="B269" s="148" t="s">
        <v>349</v>
      </c>
    </row>
    <row r="270" spans="2:26" x14ac:dyDescent="0.35">
      <c r="B270" s="33" t="s">
        <v>342</v>
      </c>
      <c r="F270" s="34">
        <f>+IF(YEAR(F$140)=YEAR(Assumptions!$F$30),F253,0)</f>
        <v>0</v>
      </c>
      <c r="G270" s="34">
        <f>+IF(YEAR(G$140)=YEAR(Assumptions!$F$30),G253,0)</f>
        <v>0</v>
      </c>
      <c r="H270" s="34">
        <f>+IF(YEAR(H$140)=YEAR(Assumptions!$F$30),H253,0)</f>
        <v>0</v>
      </c>
      <c r="I270" s="34">
        <f>+IF(YEAR(I$140)=YEAR(Assumptions!$F$30),I253,0)</f>
        <v>0</v>
      </c>
      <c r="J270" s="34">
        <f>+IF(YEAR(J$140)=YEAR(Assumptions!$F$30),J253,0)</f>
        <v>0</v>
      </c>
      <c r="K270" s="34">
        <f>+IF(YEAR(K$140)=YEAR(Assumptions!$F$30),K253,0)</f>
        <v>0</v>
      </c>
      <c r="L270" s="34">
        <f>+IF(YEAR(L$140)=YEAR(Assumptions!$F$30),L253,0)</f>
        <v>0</v>
      </c>
      <c r="M270" s="34">
        <f>+IF(YEAR(M$140)=YEAR(Assumptions!$F$30),M253,0)</f>
        <v>0</v>
      </c>
      <c r="N270" s="34">
        <f>+IF(YEAR(N$140)=YEAR(Assumptions!$F$30),N253,0)</f>
        <v>0</v>
      </c>
      <c r="O270" s="34">
        <f>+IF(YEAR(O$140)=YEAR(Assumptions!$F$30),O253,0)</f>
        <v>0</v>
      </c>
      <c r="P270" s="34">
        <f ca="1">+IF(YEAR(P$140)=YEAR(Assumptions!$F$30),P253,0)</f>
        <v>2.2560000000000004E-4</v>
      </c>
      <c r="Q270" s="34">
        <f>+IF(YEAR(Q$140)=YEAR(Assumptions!$F$30),Q253,0)</f>
        <v>0</v>
      </c>
      <c r="R270" s="34">
        <f>+IF(YEAR(R$140)=YEAR(Assumptions!$F$30),R253,0)</f>
        <v>0</v>
      </c>
      <c r="S270" s="34">
        <f>+IF(YEAR(S$140)=YEAR(Assumptions!$F$30),S253,0)</f>
        <v>0</v>
      </c>
      <c r="T270" s="34">
        <f>+IF(YEAR(T$140)=YEAR(Assumptions!$F$30),T253,0)</f>
        <v>0</v>
      </c>
      <c r="U270" s="34">
        <f>+IF(YEAR(U$140)=YEAR(Assumptions!$F$30),U253,0)</f>
        <v>0</v>
      </c>
      <c r="V270" s="34">
        <f>+IF(YEAR(V$140)=YEAR(Assumptions!$F$30),V253,0)</f>
        <v>0</v>
      </c>
      <c r="W270" s="34">
        <f>+IF(YEAR(W$140)=YEAR(Assumptions!$F$30),W253,0)</f>
        <v>0</v>
      </c>
      <c r="X270" s="34">
        <f>+IF(YEAR(X$140)=YEAR(Assumptions!$F$30),X253,0)</f>
        <v>0</v>
      </c>
      <c r="Y270" s="34">
        <f>+IF(YEAR(Y$140)=YEAR(Assumptions!$F$30),Y253,0)</f>
        <v>0</v>
      </c>
      <c r="Z270" s="34">
        <f>+IF(YEAR(Z$140)=YEAR(Assumptions!$F$30),Z253,0)</f>
        <v>0</v>
      </c>
    </row>
    <row r="271" spans="2:26" x14ac:dyDescent="0.35">
      <c r="B271" s="33" t="s">
        <v>343</v>
      </c>
      <c r="F271" s="151">
        <f>-F270*Assumptions!$N$136</f>
        <v>0</v>
      </c>
      <c r="G271" s="151">
        <f>-G270*Assumptions!$N$136</f>
        <v>0</v>
      </c>
      <c r="H271" s="151">
        <f>-H270*Assumptions!$N$136</f>
        <v>0</v>
      </c>
      <c r="I271" s="151">
        <f>-I270*Assumptions!$N$136</f>
        <v>0</v>
      </c>
      <c r="J271" s="151">
        <f>-J270*Assumptions!$N$136</f>
        <v>0</v>
      </c>
      <c r="K271" s="151">
        <f>-K270*Assumptions!$N$136</f>
        <v>0</v>
      </c>
      <c r="L271" s="151">
        <f>-L270*Assumptions!$N$136</f>
        <v>0</v>
      </c>
      <c r="M271" s="151">
        <f>-M270*Assumptions!$N$136</f>
        <v>0</v>
      </c>
      <c r="N271" s="151">
        <f>-N270*Assumptions!$N$136</f>
        <v>0</v>
      </c>
      <c r="O271" s="151">
        <f>-O270*Assumptions!$N$136</f>
        <v>0</v>
      </c>
      <c r="P271" s="151">
        <f ca="1">-P270*Assumptions!$N$136</f>
        <v>-4.512000000000001E-6</v>
      </c>
      <c r="Q271" s="151">
        <f>-Q270*Assumptions!$N$136</f>
        <v>0</v>
      </c>
      <c r="R271" s="151">
        <f>-R270*Assumptions!$N$136</f>
        <v>0</v>
      </c>
      <c r="S271" s="151">
        <f>-S270*Assumptions!$N$136</f>
        <v>0</v>
      </c>
      <c r="T271" s="151">
        <f>-T270*Assumptions!$N$136</f>
        <v>0</v>
      </c>
      <c r="U271" s="151">
        <f>-U270*Assumptions!$N$136</f>
        <v>0</v>
      </c>
      <c r="V271" s="151">
        <f>-V270*Assumptions!$N$136</f>
        <v>0</v>
      </c>
      <c r="W271" s="151">
        <f>-W270*Assumptions!$N$136</f>
        <v>0</v>
      </c>
      <c r="X271" s="151">
        <f>-X270*Assumptions!$N$136</f>
        <v>0</v>
      </c>
      <c r="Y271" s="151">
        <f>-Y270*Assumptions!$N$136</f>
        <v>0</v>
      </c>
      <c r="Z271" s="151">
        <f>-Z270*Assumptions!$N$136</f>
        <v>0</v>
      </c>
    </row>
    <row r="272" spans="2:26" x14ac:dyDescent="0.35">
      <c r="B272" s="33" t="s">
        <v>344</v>
      </c>
      <c r="F272" s="151">
        <f>+IF(YEAR(F$140)=YEAR(Assumptions!$F$30),-F259,0)</f>
        <v>0</v>
      </c>
      <c r="G272" s="151">
        <f>+IF(YEAR(G$140)=YEAR(Assumptions!$F$30),-G259,0)</f>
        <v>0</v>
      </c>
      <c r="H272" s="151">
        <f>+IF(YEAR(H$140)=YEAR(Assumptions!$F$30),-H259,0)</f>
        <v>0</v>
      </c>
      <c r="I272" s="151">
        <f>+IF(YEAR(I$140)=YEAR(Assumptions!$F$30),-I259,0)</f>
        <v>0</v>
      </c>
      <c r="J272" s="151">
        <f>+IF(YEAR(J$140)=YEAR(Assumptions!$F$30),-J259,0)</f>
        <v>0</v>
      </c>
      <c r="K272" s="151">
        <f>+IF(YEAR(K$140)=YEAR(Assumptions!$F$30),-K259,0)</f>
        <v>0</v>
      </c>
      <c r="L272" s="151">
        <f>+IF(YEAR(L$140)=YEAR(Assumptions!$F$30),-L259,0)</f>
        <v>0</v>
      </c>
      <c r="M272" s="151">
        <f>+IF(YEAR(M$140)=YEAR(Assumptions!$F$30),-M259,0)</f>
        <v>0</v>
      </c>
      <c r="N272" s="151">
        <f>+IF(YEAR(N$140)=YEAR(Assumptions!$F$30),-N259,0)</f>
        <v>0</v>
      </c>
      <c r="O272" s="151">
        <f>+IF(YEAR(O$140)=YEAR(Assumptions!$F$30),-O259,0)</f>
        <v>0</v>
      </c>
      <c r="P272" s="151">
        <f ca="1">+IF(YEAR(P$140)=YEAR(Assumptions!$F$30),-P259,0)</f>
        <v>-1.5381818181818178E-4</v>
      </c>
      <c r="Q272" s="151">
        <f>+IF(YEAR(Q$140)=YEAR(Assumptions!$F$30),-Q259,0)</f>
        <v>0</v>
      </c>
      <c r="R272" s="151">
        <f>+IF(YEAR(R$140)=YEAR(Assumptions!$F$30),-R259,0)</f>
        <v>0</v>
      </c>
      <c r="S272" s="151">
        <f>+IF(YEAR(S$140)=YEAR(Assumptions!$F$30),-S259,0)</f>
        <v>0</v>
      </c>
      <c r="T272" s="151">
        <f>+IF(YEAR(T$140)=YEAR(Assumptions!$F$30),-T259,0)</f>
        <v>0</v>
      </c>
      <c r="U272" s="151">
        <f>+IF(YEAR(U$140)=YEAR(Assumptions!$F$30),-U259,0)</f>
        <v>0</v>
      </c>
      <c r="V272" s="151">
        <f>+IF(YEAR(V$140)=YEAR(Assumptions!$F$30),-V259,0)</f>
        <v>0</v>
      </c>
      <c r="W272" s="151">
        <f>+IF(YEAR(W$140)=YEAR(Assumptions!$F$30),-W259,0)</f>
        <v>0</v>
      </c>
      <c r="X272" s="151">
        <f>+IF(YEAR(X$140)=YEAR(Assumptions!$F$30),-X259,0)</f>
        <v>0</v>
      </c>
      <c r="Y272" s="151">
        <f>+IF(YEAR(Y$140)=YEAR(Assumptions!$F$30),-Y259,0)</f>
        <v>0</v>
      </c>
      <c r="Z272" s="151">
        <f>+IF(YEAR(Z$140)=YEAR(Assumptions!$F$30),-Z259,0)</f>
        <v>0</v>
      </c>
    </row>
    <row r="273" spans="2:26" x14ac:dyDescent="0.35">
      <c r="B273" s="137" t="s">
        <v>345</v>
      </c>
      <c r="C273" s="137"/>
      <c r="D273" s="137"/>
      <c r="E273" s="137"/>
      <c r="F273" s="129">
        <f t="shared" ref="F273:Z273" si="524">+SUM(F270:F272)</f>
        <v>0</v>
      </c>
      <c r="G273" s="129">
        <f t="shared" si="524"/>
        <v>0</v>
      </c>
      <c r="H273" s="129">
        <f t="shared" si="524"/>
        <v>0</v>
      </c>
      <c r="I273" s="129">
        <f t="shared" si="524"/>
        <v>0</v>
      </c>
      <c r="J273" s="129">
        <f t="shared" si="524"/>
        <v>0</v>
      </c>
      <c r="K273" s="129">
        <f t="shared" si="524"/>
        <v>0</v>
      </c>
      <c r="L273" s="129">
        <f t="shared" si="524"/>
        <v>0</v>
      </c>
      <c r="M273" s="129">
        <f t="shared" si="524"/>
        <v>0</v>
      </c>
      <c r="N273" s="129">
        <f t="shared" si="524"/>
        <v>0</v>
      </c>
      <c r="O273" s="129">
        <f t="shared" si="524"/>
        <v>0</v>
      </c>
      <c r="P273" s="129">
        <f t="shared" ca="1" si="524"/>
        <v>6.7269818181818258E-5</v>
      </c>
      <c r="Q273" s="129">
        <f t="shared" si="524"/>
        <v>0</v>
      </c>
      <c r="R273" s="129">
        <f t="shared" si="524"/>
        <v>0</v>
      </c>
      <c r="S273" s="129">
        <f t="shared" si="524"/>
        <v>0</v>
      </c>
      <c r="T273" s="129">
        <f t="shared" si="524"/>
        <v>0</v>
      </c>
      <c r="U273" s="129">
        <f t="shared" si="524"/>
        <v>0</v>
      </c>
      <c r="V273" s="129">
        <f t="shared" si="524"/>
        <v>0</v>
      </c>
      <c r="W273" s="129">
        <f t="shared" si="524"/>
        <v>0</v>
      </c>
      <c r="X273" s="129">
        <f t="shared" si="524"/>
        <v>0</v>
      </c>
      <c r="Y273" s="129">
        <f t="shared" si="524"/>
        <v>0</v>
      </c>
      <c r="Z273" s="129">
        <f t="shared" si="524"/>
        <v>0</v>
      </c>
    </row>
    <row r="275" spans="2:26" x14ac:dyDescent="0.35">
      <c r="B275" s="138" t="s">
        <v>346</v>
      </c>
      <c r="C275" s="138"/>
      <c r="D275" s="138"/>
      <c r="E275" s="138"/>
      <c r="F275" s="139">
        <f ca="1">+IF(YEAR(F$140)&lt;=YEAR(Assumptions!$F$30),'Phase I Pro Forma'!F273+'Phase I Pro Forma'!F267,0)</f>
        <v>0</v>
      </c>
      <c r="G275" s="139">
        <f ca="1">+IF(YEAR(G$140)&lt;=YEAR(Assumptions!$F$30),'Phase I Pro Forma'!G273+'Phase I Pro Forma'!G267,0)</f>
        <v>0</v>
      </c>
      <c r="H275" s="139">
        <f ca="1">+IF(YEAR(H$140)&lt;=YEAR(Assumptions!$F$30),'Phase I Pro Forma'!H273+'Phase I Pro Forma'!H267,0)</f>
        <v>0</v>
      </c>
      <c r="I275" s="139">
        <f ca="1">+IF(YEAR(I$140)&lt;=YEAR(Assumptions!$F$30),'Phase I Pro Forma'!I273+'Phase I Pro Forma'!I267,0)</f>
        <v>-3.9736363636363626E-6</v>
      </c>
      <c r="J275" s="139">
        <f ca="1">+IF(YEAR(J$140)&lt;=YEAR(Assumptions!$F$30),'Phase I Pro Forma'!J273+'Phase I Pro Forma'!J267,0)</f>
        <v>2.8200000000000018E-6</v>
      </c>
      <c r="K275" s="139">
        <f ca="1">+IF(YEAR(K$140)&lt;=YEAR(Assumptions!$F$30),'Phase I Pro Forma'!K273+'Phase I Pro Forma'!K267,0)</f>
        <v>2.8200000000000001E-6</v>
      </c>
      <c r="L275" s="139">
        <f ca="1">+IF(YEAR(L$140)&lt;=YEAR(Assumptions!$F$30),'Phase I Pro Forma'!L273+'Phase I Pro Forma'!L267,0)</f>
        <v>3.9480000000000018E-6</v>
      </c>
      <c r="M275" s="139">
        <f ca="1">+IF(YEAR(M$140)&lt;=YEAR(Assumptions!$F$30),'Phase I Pro Forma'!M273+'Phase I Pro Forma'!M267,0)</f>
        <v>3.9480000000000035E-6</v>
      </c>
      <c r="N275" s="139">
        <f ca="1">+IF(YEAR(N$140)&lt;=YEAR(Assumptions!$F$30),'Phase I Pro Forma'!N273+'Phase I Pro Forma'!N267,0)</f>
        <v>3.9480000000000018E-6</v>
      </c>
      <c r="O275" s="139">
        <f ca="1">+IF(YEAR(O$140)&lt;=YEAR(Assumptions!$F$30),'Phase I Pro Forma'!O273+'Phase I Pro Forma'!O267,0)</f>
        <v>3.9480000000000018E-6</v>
      </c>
      <c r="P275" s="139">
        <f ca="1">+IF(YEAR(P$140)&lt;=YEAR(Assumptions!$F$30),'Phase I Pro Forma'!P273+'Phase I Pro Forma'!P267,0)</f>
        <v>7.1217818181818269E-5</v>
      </c>
      <c r="Q275" s="139">
        <f>+IF(YEAR(Q$140)&lt;=YEAR(Assumptions!$F$30),'Phase I Pro Forma'!Q273+'Phase I Pro Forma'!Q267,0)</f>
        <v>0</v>
      </c>
      <c r="R275" s="139">
        <f>+IF(YEAR(R$140)&lt;=YEAR(Assumptions!$F$30),'Phase I Pro Forma'!R273+'Phase I Pro Forma'!R267,0)</f>
        <v>0</v>
      </c>
      <c r="S275" s="139">
        <f>+IF(YEAR(S$140)&lt;=YEAR(Assumptions!$F$30),'Phase I Pro Forma'!S273+'Phase I Pro Forma'!S267,0)</f>
        <v>0</v>
      </c>
      <c r="T275" s="139">
        <f>+IF(YEAR(T$140)&lt;=YEAR(Assumptions!$F$30),'Phase I Pro Forma'!T273+'Phase I Pro Forma'!T267,0)</f>
        <v>0</v>
      </c>
      <c r="U275" s="139">
        <f>+IF(YEAR(U$140)&lt;=YEAR(Assumptions!$F$30),'Phase I Pro Forma'!U273+'Phase I Pro Forma'!U267,0)</f>
        <v>0</v>
      </c>
      <c r="V275" s="139">
        <f>+IF(YEAR(V$140)&lt;=YEAR(Assumptions!$F$30),'Phase I Pro Forma'!V273+'Phase I Pro Forma'!V267,0)</f>
        <v>0</v>
      </c>
      <c r="W275" s="139">
        <f>+IF(YEAR(W$140)&lt;=YEAR(Assumptions!$F$30),'Phase I Pro Forma'!W273+'Phase I Pro Forma'!W267,0)</f>
        <v>0</v>
      </c>
      <c r="X275" s="139">
        <f>+IF(YEAR(X$140)&lt;=YEAR(Assumptions!$F$30),'Phase I Pro Forma'!X273+'Phase I Pro Forma'!X267,0)</f>
        <v>0</v>
      </c>
      <c r="Y275" s="139">
        <f>+IF(YEAR(Y$140)&lt;=YEAR(Assumptions!$F$30),'Phase I Pro Forma'!Y273+'Phase I Pro Forma'!Y267,0)</f>
        <v>0</v>
      </c>
      <c r="Z275" s="139">
        <f>+IF(YEAR(Z$140)&lt;=YEAR(Assumptions!$F$30),'Phase I Pro Forma'!Z273+'Phase I Pro Forma'!Z267,0)</f>
        <v>0</v>
      </c>
    </row>
    <row r="277" spans="2:26" x14ac:dyDescent="0.35">
      <c r="B277" s="138" t="s">
        <v>362</v>
      </c>
      <c r="C277" s="138"/>
      <c r="D277" s="138"/>
      <c r="E277" s="138"/>
      <c r="F277" s="139">
        <f t="shared" ref="F277:Z277" ca="1" si="525">+F275+F230+F162</f>
        <v>0</v>
      </c>
      <c r="G277" s="139">
        <f t="shared" ca="1" si="525"/>
        <v>0</v>
      </c>
      <c r="H277" s="139">
        <f t="shared" ca="1" si="525"/>
        <v>0</v>
      </c>
      <c r="I277" s="139">
        <f t="shared" ca="1" si="525"/>
        <v>24901299.124564815</v>
      </c>
      <c r="J277" s="139">
        <f t="shared" ca="1" si="525"/>
        <v>5278132.2857078519</v>
      </c>
      <c r="K277" s="139">
        <f t="shared" ca="1" si="525"/>
        <v>5896598.6043395866</v>
      </c>
      <c r="L277" s="139">
        <f t="shared" ca="1" si="525"/>
        <v>7678126.75579214</v>
      </c>
      <c r="M277" s="139">
        <f t="shared" ca="1" si="525"/>
        <v>8004752.9827835169</v>
      </c>
      <c r="N277" s="139">
        <f t="shared" ca="1" si="525"/>
        <v>8449315.2071530111</v>
      </c>
      <c r="O277" s="139">
        <f t="shared" ca="1" si="525"/>
        <v>8905274.030542098</v>
      </c>
      <c r="P277" s="139">
        <f t="shared" ca="1" si="525"/>
        <v>217092433.51967055</v>
      </c>
      <c r="Q277" s="139">
        <f t="shared" si="525"/>
        <v>0</v>
      </c>
      <c r="R277" s="139">
        <f t="shared" si="525"/>
        <v>0</v>
      </c>
      <c r="S277" s="139">
        <f t="shared" si="525"/>
        <v>0</v>
      </c>
      <c r="T277" s="139">
        <f t="shared" si="525"/>
        <v>0</v>
      </c>
      <c r="U277" s="139">
        <f t="shared" si="525"/>
        <v>0</v>
      </c>
      <c r="V277" s="139">
        <f t="shared" si="525"/>
        <v>0</v>
      </c>
      <c r="W277" s="139">
        <f t="shared" si="525"/>
        <v>0</v>
      </c>
      <c r="X277" s="139">
        <f t="shared" si="525"/>
        <v>0</v>
      </c>
      <c r="Y277" s="139">
        <f t="shared" si="525"/>
        <v>0</v>
      </c>
      <c r="Z277" s="139">
        <f t="shared" si="525"/>
        <v>0</v>
      </c>
    </row>
    <row r="279" spans="2:26" x14ac:dyDescent="0.35">
      <c r="B279" s="41" t="s">
        <v>448</v>
      </c>
      <c r="F279" s="34">
        <f ca="1">+F156+F300</f>
        <v>0</v>
      </c>
      <c r="G279" s="34">
        <f t="shared" ref="G279:Z279" ca="1" si="526">+G156+G300</f>
        <v>137042341.99690846</v>
      </c>
      <c r="H279" s="34">
        <f t="shared" ca="1" si="526"/>
        <v>102744473.25819075</v>
      </c>
      <c r="I279" s="34">
        <f t="shared" ca="1" si="526"/>
        <v>34980880.000533104</v>
      </c>
      <c r="J279" s="34">
        <f t="shared" ca="1" si="526"/>
        <v>0</v>
      </c>
      <c r="K279" s="34">
        <f t="shared" ca="1" si="526"/>
        <v>0</v>
      </c>
      <c r="L279" s="34">
        <f t="shared" ca="1" si="526"/>
        <v>0</v>
      </c>
      <c r="M279" s="34">
        <f t="shared" ca="1" si="526"/>
        <v>0</v>
      </c>
      <c r="N279" s="34">
        <f t="shared" ca="1" si="526"/>
        <v>0</v>
      </c>
      <c r="O279" s="34">
        <f t="shared" ca="1" si="526"/>
        <v>0</v>
      </c>
      <c r="P279" s="34">
        <f t="shared" ca="1" si="526"/>
        <v>0</v>
      </c>
      <c r="Q279" s="34">
        <f t="shared" ca="1" si="526"/>
        <v>0</v>
      </c>
      <c r="R279" s="34">
        <f t="shared" ca="1" si="526"/>
        <v>0</v>
      </c>
      <c r="S279" s="34">
        <f t="shared" ca="1" si="526"/>
        <v>0</v>
      </c>
      <c r="T279" s="34">
        <f t="shared" ca="1" si="526"/>
        <v>0</v>
      </c>
      <c r="U279" s="34">
        <f t="shared" ca="1" si="526"/>
        <v>0</v>
      </c>
      <c r="V279" s="34">
        <f t="shared" ca="1" si="526"/>
        <v>0</v>
      </c>
      <c r="W279" s="34">
        <f t="shared" ca="1" si="526"/>
        <v>0</v>
      </c>
      <c r="X279" s="34">
        <f t="shared" ca="1" si="526"/>
        <v>0</v>
      </c>
      <c r="Y279" s="34">
        <f t="shared" ca="1" si="526"/>
        <v>0</v>
      </c>
      <c r="Z279" s="34">
        <f t="shared" ca="1" si="526"/>
        <v>0</v>
      </c>
    </row>
    <row r="280" spans="2:26" x14ac:dyDescent="0.35">
      <c r="B280" s="41" t="s">
        <v>507</v>
      </c>
      <c r="F280" s="34">
        <f ca="1">-F272+F262-F227+F217-F158+F147+F220+F150+F265</f>
        <v>0</v>
      </c>
      <c r="G280" s="34">
        <f t="shared" ref="G280:Z280" ca="1" si="527">-G272+G262-G227+G217-G158+G147+G220+G150+G265</f>
        <v>0</v>
      </c>
      <c r="H280" s="34">
        <f t="shared" ca="1" si="527"/>
        <v>0</v>
      </c>
      <c r="I280" s="34">
        <f t="shared" ca="1" si="527"/>
        <v>22236112.795499556</v>
      </c>
      <c r="J280" s="34">
        <f t="shared" ca="1" si="527"/>
        <v>20021624.698411778</v>
      </c>
      <c r="K280" s="34">
        <f t="shared" ca="1" si="527"/>
        <v>20021624.698411774</v>
      </c>
      <c r="L280" s="34">
        <f t="shared" ca="1" si="527"/>
        <v>20021624.698411774</v>
      </c>
      <c r="M280" s="34">
        <f t="shared" ca="1" si="527"/>
        <v>20021624.698411774</v>
      </c>
      <c r="N280" s="34">
        <f t="shared" ca="1" si="527"/>
        <v>20021624.698411774</v>
      </c>
      <c r="O280" s="34">
        <f t="shared" ca="1" si="527"/>
        <v>20021624.698411774</v>
      </c>
      <c r="P280" s="34">
        <f t="shared" ca="1" si="527"/>
        <v>269907694.34074235</v>
      </c>
      <c r="Q280" s="34">
        <f t="shared" ca="1" si="527"/>
        <v>20021624.698411774</v>
      </c>
      <c r="R280" s="34">
        <f t="shared" ca="1" si="527"/>
        <v>20021624.698411774</v>
      </c>
      <c r="S280" s="34">
        <f t="shared" ca="1" si="527"/>
        <v>20021624.698411774</v>
      </c>
      <c r="T280" s="34">
        <f t="shared" ca="1" si="527"/>
        <v>20021624.698411774</v>
      </c>
      <c r="U280" s="34">
        <f t="shared" ca="1" si="527"/>
        <v>20021624.698411778</v>
      </c>
      <c r="V280" s="34">
        <f t="shared" ca="1" si="527"/>
        <v>20021624.698411774</v>
      </c>
      <c r="W280" s="34">
        <f t="shared" ca="1" si="527"/>
        <v>20021624.698411774</v>
      </c>
      <c r="X280" s="34">
        <f t="shared" ca="1" si="527"/>
        <v>20021624.698411774</v>
      </c>
      <c r="Y280" s="34">
        <f t="shared" ca="1" si="527"/>
        <v>20021624.698411774</v>
      </c>
      <c r="Z280" s="34">
        <f t="shared" ca="1" si="527"/>
        <v>20021624.698411778</v>
      </c>
    </row>
    <row r="282" spans="2:26" x14ac:dyDescent="0.35">
      <c r="B282" s="37" t="s">
        <v>352</v>
      </c>
      <c r="C282" s="38"/>
      <c r="D282" s="38"/>
      <c r="E282" s="38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</row>
    <row r="284" spans="2:26" x14ac:dyDescent="0.35">
      <c r="B284" s="148" t="s">
        <v>351</v>
      </c>
      <c r="F284" s="150">
        <f>+Assumptions!$F$22</f>
        <v>44196</v>
      </c>
      <c r="G284" s="150">
        <f>+EOMONTH(F284,12)</f>
        <v>44561</v>
      </c>
      <c r="H284" s="150">
        <f t="shared" ref="H284" si="528">+EOMONTH(G284,12)</f>
        <v>44926</v>
      </c>
      <c r="I284" s="150">
        <f t="shared" ref="I284" si="529">+EOMONTH(H284,12)</f>
        <v>45291</v>
      </c>
      <c r="J284" s="150">
        <f t="shared" ref="J284" si="530">+EOMONTH(I284,12)</f>
        <v>45657</v>
      </c>
      <c r="K284" s="150">
        <f t="shared" ref="K284" si="531">+EOMONTH(J284,12)</f>
        <v>46022</v>
      </c>
      <c r="L284" s="150">
        <f t="shared" ref="L284" si="532">+EOMONTH(K284,12)</f>
        <v>46387</v>
      </c>
      <c r="M284" s="150">
        <f t="shared" ref="M284" si="533">+EOMONTH(L284,12)</f>
        <v>46752</v>
      </c>
      <c r="N284" s="150">
        <f t="shared" ref="N284" si="534">+EOMONTH(M284,12)</f>
        <v>47118</v>
      </c>
      <c r="O284" s="150">
        <f t="shared" ref="O284" si="535">+EOMONTH(N284,12)</f>
        <v>47483</v>
      </c>
      <c r="P284" s="150">
        <f t="shared" ref="P284" si="536">+EOMONTH(O284,12)</f>
        <v>47848</v>
      </c>
      <c r="Q284" s="150">
        <f t="shared" ref="Q284" si="537">+EOMONTH(P284,12)</f>
        <v>48213</v>
      </c>
      <c r="R284" s="150">
        <f t="shared" ref="R284" si="538">+EOMONTH(Q284,12)</f>
        <v>48579</v>
      </c>
      <c r="S284" s="150">
        <f t="shared" ref="S284" si="539">+EOMONTH(R284,12)</f>
        <v>48944</v>
      </c>
      <c r="T284" s="150">
        <f t="shared" ref="T284" si="540">+EOMONTH(S284,12)</f>
        <v>49309</v>
      </c>
      <c r="U284" s="150">
        <f t="shared" ref="U284" si="541">+EOMONTH(T284,12)</f>
        <v>49674</v>
      </c>
      <c r="V284" s="150">
        <f t="shared" ref="V284" si="542">+EOMONTH(U284,12)</f>
        <v>50040</v>
      </c>
      <c r="W284" s="150">
        <f t="shared" ref="W284" si="543">+EOMONTH(V284,12)</f>
        <v>50405</v>
      </c>
      <c r="X284" s="150">
        <f t="shared" ref="X284" si="544">+EOMONTH(W284,12)</f>
        <v>50770</v>
      </c>
      <c r="Y284" s="150">
        <f t="shared" ref="Y284" si="545">+EOMONTH(X284,12)</f>
        <v>51135</v>
      </c>
      <c r="Z284" s="150">
        <f t="shared" ref="Z284" si="546">+EOMONTH(Y284,12)</f>
        <v>51501</v>
      </c>
    </row>
    <row r="285" spans="2:26" x14ac:dyDescent="0.35">
      <c r="B285" s="33" t="s">
        <v>61</v>
      </c>
      <c r="D285" s="48">
        <f>+SUM(F285:Z285)</f>
        <v>6900151</v>
      </c>
      <c r="E285" s="48"/>
      <c r="F285" s="34">
        <f>+IF(AND(F$284&gt;=Assumptions!$F$22,F$284&lt;Assumptions!$F$24),'S&amp;U'!$H7/ROUNDUP(Assumptions!$F$23/12,0),IF(AND(F$284&gt;=Assumptions!$F$24,F$284&lt;Assumptions!$F$26),'S&amp;U'!$H39/ROUNDUP(Assumptions!$F$25/12,0),0))</f>
        <v>6900151</v>
      </c>
      <c r="G285" s="34">
        <f>+IF(AND(G$284&gt;=Assumptions!$F$22,G$284&lt;Assumptions!$F$24),'S&amp;U'!$H7/ROUNDUP(Assumptions!$F$23/12,0),IF(AND(G$284&gt;=Assumptions!$F$24,G$284&lt;Assumptions!$F$26),'S&amp;U'!$H39/ROUNDUP(Assumptions!$F$25/12,0),0))</f>
        <v>0</v>
      </c>
      <c r="H285" s="34">
        <f>+IF(AND(H$284&gt;=Assumptions!$F$22,H$284&lt;Assumptions!$F$24),'S&amp;U'!$H7/ROUNDUP(Assumptions!$F$23/12,0),IF(AND(H$284&gt;=Assumptions!$F$24,H$284&lt;Assumptions!$F$26),'S&amp;U'!$H39/ROUNDUP(Assumptions!$F$25/12,0),0))</f>
        <v>0</v>
      </c>
      <c r="I285" s="34">
        <f>+IF(AND(I$284&gt;=Assumptions!$F$22,I$284&lt;Assumptions!$F$24),'S&amp;U'!$H7/ROUNDUP(Assumptions!$F$23/12,0),IF(AND(I$284&gt;=Assumptions!$F$24,I$284&lt;Assumptions!$F$26),'S&amp;U'!$H39/ROUNDUP(Assumptions!$F$25/12,0),0))</f>
        <v>0</v>
      </c>
      <c r="J285" s="34">
        <f>+IF(AND(J$284&gt;=Assumptions!$F$22,J$284&lt;Assumptions!$F$24),'S&amp;U'!$H7/ROUNDUP(Assumptions!$F$23/12,0),IF(AND(J$284&gt;=Assumptions!$F$24,J$284&lt;Assumptions!$F$26),'S&amp;U'!$H39/ROUNDUP(Assumptions!$F$25/12,0),0))</f>
        <v>0</v>
      </c>
      <c r="K285" s="34">
        <f>+IF(AND(K$284&gt;=Assumptions!$F$22,K$284&lt;Assumptions!$F$24),'S&amp;U'!$H7/ROUNDUP(Assumptions!$F$23/12,0),IF(AND(K$284&gt;=Assumptions!$F$24,K$284&lt;Assumptions!$F$26),'S&amp;U'!$H39/ROUNDUP(Assumptions!$F$25/12,0),0))</f>
        <v>0</v>
      </c>
      <c r="L285" s="34">
        <f>+IF(AND(L$284&gt;=Assumptions!$F$22,L$284&lt;Assumptions!$F$24),'S&amp;U'!$H7/ROUNDUP(Assumptions!$F$23/12,0),IF(AND(L$284&gt;=Assumptions!$F$24,L$284&lt;Assumptions!$F$26),'S&amp;U'!$H39/ROUNDUP(Assumptions!$F$25/12,0),0))</f>
        <v>0</v>
      </c>
      <c r="M285" s="34">
        <f>+IF(AND(M$284&gt;=Assumptions!$F$22,M$284&lt;Assumptions!$F$24),'S&amp;U'!$H7/ROUNDUP(Assumptions!$F$23/12,0),IF(AND(M$284&gt;=Assumptions!$F$24,M$284&lt;Assumptions!$F$26),'S&amp;U'!$H39/ROUNDUP(Assumptions!$F$25/12,0),0))</f>
        <v>0</v>
      </c>
      <c r="N285" s="34">
        <f>+IF(AND(N$284&gt;=Assumptions!$F$22,N$284&lt;Assumptions!$F$24),'S&amp;U'!$H7/ROUNDUP(Assumptions!$F$23/12,0),IF(AND(N$284&gt;=Assumptions!$F$24,N$284&lt;Assumptions!$F$26),'S&amp;U'!$H39/ROUNDUP(Assumptions!$F$25/12,0),0))</f>
        <v>0</v>
      </c>
      <c r="O285" s="34">
        <f>+IF(AND(O$284&gt;=Assumptions!$F$22,O$284&lt;Assumptions!$F$24),'S&amp;U'!$H7/ROUNDUP(Assumptions!$F$23/12,0),IF(AND(O$284&gt;=Assumptions!$F$24,O$284&lt;Assumptions!$F$26),'S&amp;U'!$H39/ROUNDUP(Assumptions!$F$25/12,0),0))</f>
        <v>0</v>
      </c>
      <c r="P285" s="34">
        <f>+IF(AND(P$284&gt;=Assumptions!$F$22,P$284&lt;Assumptions!$F$24),'S&amp;U'!$H7/ROUNDUP(Assumptions!$F$23/12,0),IF(AND(P$284&gt;=Assumptions!$F$24,P$284&lt;Assumptions!$F$26),'S&amp;U'!$H39/ROUNDUP(Assumptions!$F$25/12,0),0))</f>
        <v>0</v>
      </c>
      <c r="Q285" s="34">
        <f>+IF(AND(Q$284&gt;=Assumptions!$F$22,Q$284&lt;Assumptions!$F$24),'S&amp;U'!$H7/ROUNDUP(Assumptions!$F$23/12,0),IF(AND(Q$284&gt;=Assumptions!$F$24,Q$284&lt;Assumptions!$F$26),'S&amp;U'!$H39/ROUNDUP(Assumptions!$F$25/12,0),0))</f>
        <v>0</v>
      </c>
      <c r="R285" s="34">
        <f>+IF(AND(R$284&gt;=Assumptions!$F$22,R$284&lt;Assumptions!$F$24),'S&amp;U'!$H7/ROUNDUP(Assumptions!$F$23/12,0),IF(AND(R$284&gt;=Assumptions!$F$24,R$284&lt;Assumptions!$F$26),'S&amp;U'!$H39/ROUNDUP(Assumptions!$F$25/12,0),0))</f>
        <v>0</v>
      </c>
      <c r="S285" s="34">
        <f>+IF(AND(S$284&gt;=Assumptions!$F$22,S$284&lt;Assumptions!$F$24),'S&amp;U'!$H7/ROUNDUP(Assumptions!$F$23/12,0),IF(AND(S$284&gt;=Assumptions!$F$24,S$284&lt;Assumptions!$F$26),'S&amp;U'!$H39/ROUNDUP(Assumptions!$F$25/12,0),0))</f>
        <v>0</v>
      </c>
      <c r="T285" s="34">
        <f>+IF(AND(T$284&gt;=Assumptions!$F$22,T$284&lt;Assumptions!$F$24),'S&amp;U'!$H7/ROUNDUP(Assumptions!$F$23/12,0),IF(AND(T$284&gt;=Assumptions!$F$24,T$284&lt;Assumptions!$F$26),'S&amp;U'!$H39/ROUNDUP(Assumptions!$F$25/12,0),0))</f>
        <v>0</v>
      </c>
      <c r="U285" s="34">
        <f>+IF(AND(U$284&gt;=Assumptions!$F$22,U$284&lt;Assumptions!$F$24),'S&amp;U'!$H7/ROUNDUP(Assumptions!$F$23/12,0),IF(AND(U$284&gt;=Assumptions!$F$24,U$284&lt;Assumptions!$F$26),'S&amp;U'!$H39/ROUNDUP(Assumptions!$F$25/12,0),0))</f>
        <v>0</v>
      </c>
      <c r="V285" s="34">
        <f>+IF(AND(V$284&gt;=Assumptions!$F$22,V$284&lt;Assumptions!$F$24),'S&amp;U'!$H7/ROUNDUP(Assumptions!$F$23/12,0),IF(AND(V$284&gt;=Assumptions!$F$24,V$284&lt;Assumptions!$F$26),'S&amp;U'!$H39/ROUNDUP(Assumptions!$F$25/12,0),0))</f>
        <v>0</v>
      </c>
      <c r="W285" s="34">
        <f>+IF(AND(W$284&gt;=Assumptions!$F$22,W$284&lt;Assumptions!$F$24),'S&amp;U'!$H7/ROUNDUP(Assumptions!$F$23/12,0),IF(AND(W$284&gt;=Assumptions!$F$24,W$284&lt;Assumptions!$F$26),'S&amp;U'!$H39/ROUNDUP(Assumptions!$F$25/12,0),0))</f>
        <v>0</v>
      </c>
      <c r="X285" s="34">
        <f>+IF(AND(X$284&gt;=Assumptions!$F$22,X$284&lt;Assumptions!$F$24),'S&amp;U'!$H7/ROUNDUP(Assumptions!$F$23/12,0),IF(AND(X$284&gt;=Assumptions!$F$24,X$284&lt;Assumptions!$F$26),'S&amp;U'!$H39/ROUNDUP(Assumptions!$F$25/12,0),0))</f>
        <v>0</v>
      </c>
      <c r="Y285" s="34">
        <f>+IF(AND(Y$284&gt;=Assumptions!$F$22,Y$284&lt;Assumptions!$F$24),'S&amp;U'!$H7/ROUNDUP(Assumptions!$F$23/12,0),IF(AND(Y$284&gt;=Assumptions!$F$24,Y$284&lt;Assumptions!$F$26),'S&amp;U'!$H39/ROUNDUP(Assumptions!$F$25/12,0),0))</f>
        <v>0</v>
      </c>
      <c r="Z285" s="34">
        <f>+IF(AND(Z$284&gt;=Assumptions!$F$22,Z$284&lt;Assumptions!$F$24),'S&amp;U'!$H7/ROUNDUP(Assumptions!$F$23/12,0),IF(AND(Z$284&gt;=Assumptions!$F$24,Z$284&lt;Assumptions!$F$26),'S&amp;U'!$H39/ROUNDUP(Assumptions!$F$25/12,0),0))</f>
        <v>0</v>
      </c>
    </row>
    <row r="286" spans="2:26" x14ac:dyDescent="0.35">
      <c r="B286" s="33" t="s">
        <v>8</v>
      </c>
      <c r="D286" s="48">
        <f t="shared" ref="D286:D291" si="547">+SUM(F286:Z286)</f>
        <v>31353547.897872344</v>
      </c>
      <c r="E286" s="48"/>
      <c r="F286" s="151">
        <f>+IF(AND(F$284&gt;=Assumptions!$F$22,F$284&lt;Assumptions!$F$24),'S&amp;U'!$H8/ROUNDUP(Assumptions!$F$23/12,0),IF(AND(F$284&gt;=Assumptions!$F$24,F$284&lt;Assumptions!$F$26),'S&amp;U'!$H40/ROUNDUP(Assumptions!$F$25/12,0),0))</f>
        <v>31353547.897872344</v>
      </c>
      <c r="G286" s="151">
        <f>+IF(AND(G$284&gt;=Assumptions!$F$22,G$284&lt;Assumptions!$F$24),'S&amp;U'!$H8/ROUNDUP(Assumptions!$F$23/12,0),IF(AND(G$284&gt;=Assumptions!$F$24,G$284&lt;Assumptions!$F$26),'S&amp;U'!$H40/ROUNDUP(Assumptions!$F$25/12,0),0))</f>
        <v>0</v>
      </c>
      <c r="H286" s="151">
        <f>+IF(AND(H$284&gt;=Assumptions!$F$22,H$284&lt;Assumptions!$F$24),'S&amp;U'!$H8/ROUNDUP(Assumptions!$F$23/12,0),IF(AND(H$284&gt;=Assumptions!$F$24,H$284&lt;Assumptions!$F$26),'S&amp;U'!$H40/ROUNDUP(Assumptions!$F$25/12,0),0))</f>
        <v>0</v>
      </c>
      <c r="I286" s="151">
        <f>+IF(AND(I$284&gt;=Assumptions!$F$22,I$284&lt;Assumptions!$F$24),'S&amp;U'!$H8/ROUNDUP(Assumptions!$F$23/12,0),IF(AND(I$284&gt;=Assumptions!$F$24,I$284&lt;Assumptions!$F$26),'S&amp;U'!$H40/ROUNDUP(Assumptions!$F$25/12,0),0))</f>
        <v>0</v>
      </c>
      <c r="J286" s="151">
        <f>+IF(AND(J$284&gt;=Assumptions!$F$22,J$284&lt;Assumptions!$F$24),'S&amp;U'!$H8/ROUNDUP(Assumptions!$F$23/12,0),IF(AND(J$284&gt;=Assumptions!$F$24,J$284&lt;Assumptions!$F$26),'S&amp;U'!$H40/ROUNDUP(Assumptions!$F$25/12,0),0))</f>
        <v>0</v>
      </c>
      <c r="K286" s="151">
        <f>+IF(AND(K$284&gt;=Assumptions!$F$22,K$284&lt;Assumptions!$F$24),'S&amp;U'!$H8/ROUNDUP(Assumptions!$F$23/12,0),IF(AND(K$284&gt;=Assumptions!$F$24,K$284&lt;Assumptions!$F$26),'S&amp;U'!$H40/ROUNDUP(Assumptions!$F$25/12,0),0))</f>
        <v>0</v>
      </c>
      <c r="L286" s="151">
        <f>+IF(AND(L$284&gt;=Assumptions!$F$22,L$284&lt;Assumptions!$F$24),'S&amp;U'!$H8/ROUNDUP(Assumptions!$F$23/12,0),IF(AND(L$284&gt;=Assumptions!$F$24,L$284&lt;Assumptions!$F$26),'S&amp;U'!$H40/ROUNDUP(Assumptions!$F$25/12,0),0))</f>
        <v>0</v>
      </c>
      <c r="M286" s="151">
        <f>+IF(AND(M$284&gt;=Assumptions!$F$22,M$284&lt;Assumptions!$F$24),'S&amp;U'!$H8/ROUNDUP(Assumptions!$F$23/12,0),IF(AND(M$284&gt;=Assumptions!$F$24,M$284&lt;Assumptions!$F$26),'S&amp;U'!$H40/ROUNDUP(Assumptions!$F$25/12,0),0))</f>
        <v>0</v>
      </c>
      <c r="N286" s="151">
        <f>+IF(AND(N$284&gt;=Assumptions!$F$22,N$284&lt;Assumptions!$F$24),'S&amp;U'!$H8/ROUNDUP(Assumptions!$F$23/12,0),IF(AND(N$284&gt;=Assumptions!$F$24,N$284&lt;Assumptions!$F$26),'S&amp;U'!$H40/ROUNDUP(Assumptions!$F$25/12,0),0))</f>
        <v>0</v>
      </c>
      <c r="O286" s="151">
        <f>+IF(AND(O$284&gt;=Assumptions!$F$22,O$284&lt;Assumptions!$F$24),'S&amp;U'!$H8/ROUNDUP(Assumptions!$F$23/12,0),IF(AND(O$284&gt;=Assumptions!$F$24,O$284&lt;Assumptions!$F$26),'S&amp;U'!$H40/ROUNDUP(Assumptions!$F$25/12,0),0))</f>
        <v>0</v>
      </c>
      <c r="P286" s="151">
        <f>+IF(AND(P$284&gt;=Assumptions!$F$22,P$284&lt;Assumptions!$F$24),'S&amp;U'!$H8/ROUNDUP(Assumptions!$F$23/12,0),IF(AND(P$284&gt;=Assumptions!$F$24,P$284&lt;Assumptions!$F$26),'S&amp;U'!$H40/ROUNDUP(Assumptions!$F$25/12,0),0))</f>
        <v>0</v>
      </c>
      <c r="Q286" s="151">
        <f>+IF(AND(Q$284&gt;=Assumptions!$F$22,Q$284&lt;Assumptions!$F$24),'S&amp;U'!$H8/ROUNDUP(Assumptions!$F$23/12,0),IF(AND(Q$284&gt;=Assumptions!$F$24,Q$284&lt;Assumptions!$F$26),'S&amp;U'!$H40/ROUNDUP(Assumptions!$F$25/12,0),0))</f>
        <v>0</v>
      </c>
      <c r="R286" s="151">
        <f>+IF(AND(R$284&gt;=Assumptions!$F$22,R$284&lt;Assumptions!$F$24),'S&amp;U'!$H8/ROUNDUP(Assumptions!$F$23/12,0),IF(AND(R$284&gt;=Assumptions!$F$24,R$284&lt;Assumptions!$F$26),'S&amp;U'!$H40/ROUNDUP(Assumptions!$F$25/12,0),0))</f>
        <v>0</v>
      </c>
      <c r="S286" s="151">
        <f>+IF(AND(S$284&gt;=Assumptions!$F$22,S$284&lt;Assumptions!$F$24),'S&amp;U'!$H8/ROUNDUP(Assumptions!$F$23/12,0),IF(AND(S$284&gt;=Assumptions!$F$24,S$284&lt;Assumptions!$F$26),'S&amp;U'!$H40/ROUNDUP(Assumptions!$F$25/12,0),0))</f>
        <v>0</v>
      </c>
      <c r="T286" s="151">
        <f>+IF(AND(T$284&gt;=Assumptions!$F$22,T$284&lt;Assumptions!$F$24),'S&amp;U'!$H8/ROUNDUP(Assumptions!$F$23/12,0),IF(AND(T$284&gt;=Assumptions!$F$24,T$284&lt;Assumptions!$F$26),'S&amp;U'!$H40/ROUNDUP(Assumptions!$F$25/12,0),0))</f>
        <v>0</v>
      </c>
      <c r="U286" s="151">
        <f>+IF(AND(U$284&gt;=Assumptions!$F$22,U$284&lt;Assumptions!$F$24),'S&amp;U'!$H8/ROUNDUP(Assumptions!$F$23/12,0),IF(AND(U$284&gt;=Assumptions!$F$24,U$284&lt;Assumptions!$F$26),'S&amp;U'!$H40/ROUNDUP(Assumptions!$F$25/12,0),0))</f>
        <v>0</v>
      </c>
      <c r="V286" s="151">
        <f>+IF(AND(V$284&gt;=Assumptions!$F$22,V$284&lt;Assumptions!$F$24),'S&amp;U'!$H8/ROUNDUP(Assumptions!$F$23/12,0),IF(AND(V$284&gt;=Assumptions!$F$24,V$284&lt;Assumptions!$F$26),'S&amp;U'!$H40/ROUNDUP(Assumptions!$F$25/12,0),0))</f>
        <v>0</v>
      </c>
      <c r="W286" s="151">
        <f>+IF(AND(W$284&gt;=Assumptions!$F$22,W$284&lt;Assumptions!$F$24),'S&amp;U'!$H8/ROUNDUP(Assumptions!$F$23/12,0),IF(AND(W$284&gt;=Assumptions!$F$24,W$284&lt;Assumptions!$F$26),'S&amp;U'!$H40/ROUNDUP(Assumptions!$F$25/12,0),0))</f>
        <v>0</v>
      </c>
      <c r="X286" s="151">
        <f>+IF(AND(X$284&gt;=Assumptions!$F$22,X$284&lt;Assumptions!$F$24),'S&amp;U'!$H8/ROUNDUP(Assumptions!$F$23/12,0),IF(AND(X$284&gt;=Assumptions!$F$24,X$284&lt;Assumptions!$F$26),'S&amp;U'!$H40/ROUNDUP(Assumptions!$F$25/12,0),0))</f>
        <v>0</v>
      </c>
      <c r="Y286" s="151">
        <f>+IF(AND(Y$284&gt;=Assumptions!$F$22,Y$284&lt;Assumptions!$F$24),'S&amp;U'!$H8/ROUNDUP(Assumptions!$F$23/12,0),IF(AND(Y$284&gt;=Assumptions!$F$24,Y$284&lt;Assumptions!$F$26),'S&amp;U'!$H40/ROUNDUP(Assumptions!$F$25/12,0),0))</f>
        <v>0</v>
      </c>
      <c r="Z286" s="151">
        <f>+IF(AND(Z$284&gt;=Assumptions!$F$22,Z$284&lt;Assumptions!$F$24),'S&amp;U'!$H8/ROUNDUP(Assumptions!$F$23/12,0),IF(AND(Z$284&gt;=Assumptions!$F$24,Z$284&lt;Assumptions!$F$26),'S&amp;U'!$H40/ROUNDUP(Assumptions!$F$25/12,0),0))</f>
        <v>0</v>
      </c>
    </row>
    <row r="287" spans="2:26" x14ac:dyDescent="0.35">
      <c r="B287" s="33" t="s">
        <v>57</v>
      </c>
      <c r="D287" s="48">
        <f t="shared" ca="1" si="547"/>
        <v>297663456.66999996</v>
      </c>
      <c r="E287" s="48"/>
      <c r="F287" s="151">
        <f>+IF(AND(F$284&gt;=Assumptions!$F$22,F$284&lt;Assumptions!$F$24),'S&amp;U'!$H9/ROUNDUP(Assumptions!$F$23/12,0),IF(AND(F$284&gt;=Assumptions!$F$24,F$284&lt;Assumptions!$F$26),'S&amp;U'!$H41/ROUNDUP(Assumptions!$F$25/12,0),0))</f>
        <v>160000</v>
      </c>
      <c r="G287" s="151">
        <f ca="1">+IF(AND(G$284&gt;=Assumptions!$F$22,G$284&lt;Assumptions!$F$24),'S&amp;U'!$H9/ROUNDUP(Assumptions!$F$23/12,0),IF(AND(G$284&gt;=Assumptions!$F$24,G$284&lt;Assumptions!$F$26),'S&amp;U'!$H41/ROUNDUP(Assumptions!$F$25/12,0),0))</f>
        <v>148751728.33499998</v>
      </c>
      <c r="H287" s="151">
        <f ca="1">+IF(AND(H$284&gt;=Assumptions!$F$22,H$284&lt;Assumptions!$F$24),'S&amp;U'!$H9/ROUNDUP(Assumptions!$F$23/12,0),IF(AND(H$284&gt;=Assumptions!$F$24,H$284&lt;Assumptions!$F$26),'S&amp;U'!$H41/ROUNDUP(Assumptions!$F$25/12,0),0))</f>
        <v>148751728.33499998</v>
      </c>
      <c r="I287" s="151">
        <f>+IF(AND(I$284&gt;=Assumptions!$F$22,I$284&lt;Assumptions!$F$24),'S&amp;U'!$H9/ROUNDUP(Assumptions!$F$23/12,0),IF(AND(I$284&gt;=Assumptions!$F$24,I$284&lt;Assumptions!$F$26),'S&amp;U'!$H41/ROUNDUP(Assumptions!$F$25/12,0),0))</f>
        <v>0</v>
      </c>
      <c r="J287" s="151">
        <f>+IF(AND(J$284&gt;=Assumptions!$F$22,J$284&lt;Assumptions!$F$24),'S&amp;U'!$H9/ROUNDUP(Assumptions!$F$23/12,0),IF(AND(J$284&gt;=Assumptions!$F$24,J$284&lt;Assumptions!$F$26),'S&amp;U'!$H41/ROUNDUP(Assumptions!$F$25/12,0),0))</f>
        <v>0</v>
      </c>
      <c r="K287" s="151">
        <f>+IF(AND(K$284&gt;=Assumptions!$F$22,K$284&lt;Assumptions!$F$24),'S&amp;U'!$H9/ROUNDUP(Assumptions!$F$23/12,0),IF(AND(K$284&gt;=Assumptions!$F$24,K$284&lt;Assumptions!$F$26),'S&amp;U'!$H41/ROUNDUP(Assumptions!$F$25/12,0),0))</f>
        <v>0</v>
      </c>
      <c r="L287" s="151">
        <f>+IF(AND(L$284&gt;=Assumptions!$F$22,L$284&lt;Assumptions!$F$24),'S&amp;U'!$H9/ROUNDUP(Assumptions!$F$23/12,0),IF(AND(L$284&gt;=Assumptions!$F$24,L$284&lt;Assumptions!$F$26),'S&amp;U'!$H41/ROUNDUP(Assumptions!$F$25/12,0),0))</f>
        <v>0</v>
      </c>
      <c r="M287" s="151">
        <f>+IF(AND(M$284&gt;=Assumptions!$F$22,M$284&lt;Assumptions!$F$24),'S&amp;U'!$H9/ROUNDUP(Assumptions!$F$23/12,0),IF(AND(M$284&gt;=Assumptions!$F$24,M$284&lt;Assumptions!$F$26),'S&amp;U'!$H41/ROUNDUP(Assumptions!$F$25/12,0),0))</f>
        <v>0</v>
      </c>
      <c r="N287" s="151">
        <f>+IF(AND(N$284&gt;=Assumptions!$F$22,N$284&lt;Assumptions!$F$24),'S&amp;U'!$H9/ROUNDUP(Assumptions!$F$23/12,0),IF(AND(N$284&gt;=Assumptions!$F$24,N$284&lt;Assumptions!$F$26),'S&amp;U'!$H41/ROUNDUP(Assumptions!$F$25/12,0),0))</f>
        <v>0</v>
      </c>
      <c r="O287" s="151">
        <f>+IF(AND(O$284&gt;=Assumptions!$F$22,O$284&lt;Assumptions!$F$24),'S&amp;U'!$H9/ROUNDUP(Assumptions!$F$23/12,0),IF(AND(O$284&gt;=Assumptions!$F$24,O$284&lt;Assumptions!$F$26),'S&amp;U'!$H41/ROUNDUP(Assumptions!$F$25/12,0),0))</f>
        <v>0</v>
      </c>
      <c r="P287" s="151">
        <f>+IF(AND(P$284&gt;=Assumptions!$F$22,P$284&lt;Assumptions!$F$24),'S&amp;U'!$H9/ROUNDUP(Assumptions!$F$23/12,0),IF(AND(P$284&gt;=Assumptions!$F$24,P$284&lt;Assumptions!$F$26),'S&amp;U'!$H41/ROUNDUP(Assumptions!$F$25/12,0),0))</f>
        <v>0</v>
      </c>
      <c r="Q287" s="151">
        <f>+IF(AND(Q$284&gt;=Assumptions!$F$22,Q$284&lt;Assumptions!$F$24),'S&amp;U'!$H9/ROUNDUP(Assumptions!$F$23/12,0),IF(AND(Q$284&gt;=Assumptions!$F$24,Q$284&lt;Assumptions!$F$26),'S&amp;U'!$H41/ROUNDUP(Assumptions!$F$25/12,0),0))</f>
        <v>0</v>
      </c>
      <c r="R287" s="151">
        <f>+IF(AND(R$284&gt;=Assumptions!$F$22,R$284&lt;Assumptions!$F$24),'S&amp;U'!$H9/ROUNDUP(Assumptions!$F$23/12,0),IF(AND(R$284&gt;=Assumptions!$F$24,R$284&lt;Assumptions!$F$26),'S&amp;U'!$H41/ROUNDUP(Assumptions!$F$25/12,0),0))</f>
        <v>0</v>
      </c>
      <c r="S287" s="151">
        <f>+IF(AND(S$284&gt;=Assumptions!$F$22,S$284&lt;Assumptions!$F$24),'S&amp;U'!$H9/ROUNDUP(Assumptions!$F$23/12,0),IF(AND(S$284&gt;=Assumptions!$F$24,S$284&lt;Assumptions!$F$26),'S&amp;U'!$H41/ROUNDUP(Assumptions!$F$25/12,0),0))</f>
        <v>0</v>
      </c>
      <c r="T287" s="151">
        <f>+IF(AND(T$284&gt;=Assumptions!$F$22,T$284&lt;Assumptions!$F$24),'S&amp;U'!$H9/ROUNDUP(Assumptions!$F$23/12,0),IF(AND(T$284&gt;=Assumptions!$F$24,T$284&lt;Assumptions!$F$26),'S&amp;U'!$H41/ROUNDUP(Assumptions!$F$25/12,0),0))</f>
        <v>0</v>
      </c>
      <c r="U287" s="151">
        <f>+IF(AND(U$284&gt;=Assumptions!$F$22,U$284&lt;Assumptions!$F$24),'S&amp;U'!$H9/ROUNDUP(Assumptions!$F$23/12,0),IF(AND(U$284&gt;=Assumptions!$F$24,U$284&lt;Assumptions!$F$26),'S&amp;U'!$H41/ROUNDUP(Assumptions!$F$25/12,0),0))</f>
        <v>0</v>
      </c>
      <c r="V287" s="151">
        <f>+IF(AND(V$284&gt;=Assumptions!$F$22,V$284&lt;Assumptions!$F$24),'S&amp;U'!$H9/ROUNDUP(Assumptions!$F$23/12,0),IF(AND(V$284&gt;=Assumptions!$F$24,V$284&lt;Assumptions!$F$26),'S&amp;U'!$H41/ROUNDUP(Assumptions!$F$25/12,0),0))</f>
        <v>0</v>
      </c>
      <c r="W287" s="151">
        <f>+IF(AND(W$284&gt;=Assumptions!$F$22,W$284&lt;Assumptions!$F$24),'S&amp;U'!$H9/ROUNDUP(Assumptions!$F$23/12,0),IF(AND(W$284&gt;=Assumptions!$F$24,W$284&lt;Assumptions!$F$26),'S&amp;U'!$H41/ROUNDUP(Assumptions!$F$25/12,0),0))</f>
        <v>0</v>
      </c>
      <c r="X287" s="151">
        <f>+IF(AND(X$284&gt;=Assumptions!$F$22,X$284&lt;Assumptions!$F$24),'S&amp;U'!$H9/ROUNDUP(Assumptions!$F$23/12,0),IF(AND(X$284&gt;=Assumptions!$F$24,X$284&lt;Assumptions!$F$26),'S&amp;U'!$H41/ROUNDUP(Assumptions!$F$25/12,0),0))</f>
        <v>0</v>
      </c>
      <c r="Y287" s="151">
        <f>+IF(AND(Y$284&gt;=Assumptions!$F$22,Y$284&lt;Assumptions!$F$24),'S&amp;U'!$H9/ROUNDUP(Assumptions!$F$23/12,0),IF(AND(Y$284&gt;=Assumptions!$F$24,Y$284&lt;Assumptions!$F$26),'S&amp;U'!$H41/ROUNDUP(Assumptions!$F$25/12,0),0))</f>
        <v>0</v>
      </c>
      <c r="Z287" s="151">
        <f>+IF(AND(Z$284&gt;=Assumptions!$F$22,Z$284&lt;Assumptions!$F$24),'S&amp;U'!$H9/ROUNDUP(Assumptions!$F$23/12,0),IF(AND(Z$284&gt;=Assumptions!$F$24,Z$284&lt;Assumptions!$F$26),'S&amp;U'!$H41/ROUNDUP(Assumptions!$F$25/12,0),0))</f>
        <v>0</v>
      </c>
    </row>
    <row r="288" spans="2:26" x14ac:dyDescent="0.35">
      <c r="B288" s="33" t="s">
        <v>58</v>
      </c>
      <c r="D288" s="48">
        <f t="shared" ca="1" si="547"/>
        <v>23359191.388517704</v>
      </c>
      <c r="E288" s="48"/>
      <c r="F288" s="151">
        <f ca="1">+IF(AND(F$284&gt;=Assumptions!$F$22,F$284&lt;Assumptions!$F$24),'S&amp;U'!$H10/ROUNDUP(Assumptions!$F$23/12,0),IF(AND(F$284&gt;=Assumptions!$F$24,F$284&lt;Assumptions!$F$26),'S&amp;U'!$H42/ROUNDUP(Assumptions!$F$25/12,0),0))</f>
        <v>13082091.889500661</v>
      </c>
      <c r="G288" s="151">
        <f ca="1">+IF(AND(G$284&gt;=Assumptions!$F$22,G$284&lt;Assumptions!$F$24),'S&amp;U'!$H10/ROUNDUP(Assumptions!$F$23/12,0),IF(AND(G$284&gt;=Assumptions!$F$24,G$284&lt;Assumptions!$F$26),'S&amp;U'!$H42/ROUNDUP(Assumptions!$F$25/12,0),0))</f>
        <v>5138549.7495085215</v>
      </c>
      <c r="H288" s="151">
        <f ca="1">+IF(AND(H$284&gt;=Assumptions!$F$22,H$284&lt;Assumptions!$F$24),'S&amp;U'!$H10/ROUNDUP(Assumptions!$F$23/12,0),IF(AND(H$284&gt;=Assumptions!$F$24,H$284&lt;Assumptions!$F$26),'S&amp;U'!$H42/ROUNDUP(Assumptions!$F$25/12,0),0))</f>
        <v>5138549.7495085215</v>
      </c>
      <c r="I288" s="151">
        <f>+IF(AND(I$284&gt;=Assumptions!$F$22,I$284&lt;Assumptions!$F$24),'S&amp;U'!$H10/ROUNDUP(Assumptions!$F$23/12,0),IF(AND(I$284&gt;=Assumptions!$F$24,I$284&lt;Assumptions!$F$26),'S&amp;U'!$H42/ROUNDUP(Assumptions!$F$25/12,0),0))</f>
        <v>0</v>
      </c>
      <c r="J288" s="151">
        <f>+IF(AND(J$284&gt;=Assumptions!$F$22,J$284&lt;Assumptions!$F$24),'S&amp;U'!$H10/ROUNDUP(Assumptions!$F$23/12,0),IF(AND(J$284&gt;=Assumptions!$F$24,J$284&lt;Assumptions!$F$26),'S&amp;U'!$H42/ROUNDUP(Assumptions!$F$25/12,0),0))</f>
        <v>0</v>
      </c>
      <c r="K288" s="151">
        <f>+IF(AND(K$284&gt;=Assumptions!$F$22,K$284&lt;Assumptions!$F$24),'S&amp;U'!$H10/ROUNDUP(Assumptions!$F$23/12,0),IF(AND(K$284&gt;=Assumptions!$F$24,K$284&lt;Assumptions!$F$26),'S&amp;U'!$H42/ROUNDUP(Assumptions!$F$25/12,0),0))</f>
        <v>0</v>
      </c>
      <c r="L288" s="151">
        <f>+IF(AND(L$284&gt;=Assumptions!$F$22,L$284&lt;Assumptions!$F$24),'S&amp;U'!$H10/ROUNDUP(Assumptions!$F$23/12,0),IF(AND(L$284&gt;=Assumptions!$F$24,L$284&lt;Assumptions!$F$26),'S&amp;U'!$H42/ROUNDUP(Assumptions!$F$25/12,0),0))</f>
        <v>0</v>
      </c>
      <c r="M288" s="151">
        <f>+IF(AND(M$284&gt;=Assumptions!$F$22,M$284&lt;Assumptions!$F$24),'S&amp;U'!$H10/ROUNDUP(Assumptions!$F$23/12,0),IF(AND(M$284&gt;=Assumptions!$F$24,M$284&lt;Assumptions!$F$26),'S&amp;U'!$H42/ROUNDUP(Assumptions!$F$25/12,0),0))</f>
        <v>0</v>
      </c>
      <c r="N288" s="151">
        <f>+IF(AND(N$284&gt;=Assumptions!$F$22,N$284&lt;Assumptions!$F$24),'S&amp;U'!$H10/ROUNDUP(Assumptions!$F$23/12,0),IF(AND(N$284&gt;=Assumptions!$F$24,N$284&lt;Assumptions!$F$26),'S&amp;U'!$H42/ROUNDUP(Assumptions!$F$25/12,0),0))</f>
        <v>0</v>
      </c>
      <c r="O288" s="151">
        <f>+IF(AND(O$284&gt;=Assumptions!$F$22,O$284&lt;Assumptions!$F$24),'S&amp;U'!$H10/ROUNDUP(Assumptions!$F$23/12,0),IF(AND(O$284&gt;=Assumptions!$F$24,O$284&lt;Assumptions!$F$26),'S&amp;U'!$H42/ROUNDUP(Assumptions!$F$25/12,0),0))</f>
        <v>0</v>
      </c>
      <c r="P288" s="151">
        <f>+IF(AND(P$284&gt;=Assumptions!$F$22,P$284&lt;Assumptions!$F$24),'S&amp;U'!$H10/ROUNDUP(Assumptions!$F$23/12,0),IF(AND(P$284&gt;=Assumptions!$F$24,P$284&lt;Assumptions!$F$26),'S&amp;U'!$H42/ROUNDUP(Assumptions!$F$25/12,0),0))</f>
        <v>0</v>
      </c>
      <c r="Q288" s="151">
        <f>+IF(AND(Q$284&gt;=Assumptions!$F$22,Q$284&lt;Assumptions!$F$24),'S&amp;U'!$H10/ROUNDUP(Assumptions!$F$23/12,0),IF(AND(Q$284&gt;=Assumptions!$F$24,Q$284&lt;Assumptions!$F$26),'S&amp;U'!$H42/ROUNDUP(Assumptions!$F$25/12,0),0))</f>
        <v>0</v>
      </c>
      <c r="R288" s="151">
        <f>+IF(AND(R$284&gt;=Assumptions!$F$22,R$284&lt;Assumptions!$F$24),'S&amp;U'!$H10/ROUNDUP(Assumptions!$F$23/12,0),IF(AND(R$284&gt;=Assumptions!$F$24,R$284&lt;Assumptions!$F$26),'S&amp;U'!$H42/ROUNDUP(Assumptions!$F$25/12,0),0))</f>
        <v>0</v>
      </c>
      <c r="S288" s="151">
        <f>+IF(AND(S$284&gt;=Assumptions!$F$22,S$284&lt;Assumptions!$F$24),'S&amp;U'!$H10/ROUNDUP(Assumptions!$F$23/12,0),IF(AND(S$284&gt;=Assumptions!$F$24,S$284&lt;Assumptions!$F$26),'S&amp;U'!$H42/ROUNDUP(Assumptions!$F$25/12,0),0))</f>
        <v>0</v>
      </c>
      <c r="T288" s="151">
        <f>+IF(AND(T$284&gt;=Assumptions!$F$22,T$284&lt;Assumptions!$F$24),'S&amp;U'!$H10/ROUNDUP(Assumptions!$F$23/12,0),IF(AND(T$284&gt;=Assumptions!$F$24,T$284&lt;Assumptions!$F$26),'S&amp;U'!$H42/ROUNDUP(Assumptions!$F$25/12,0),0))</f>
        <v>0</v>
      </c>
      <c r="U288" s="151">
        <f>+IF(AND(U$284&gt;=Assumptions!$F$22,U$284&lt;Assumptions!$F$24),'S&amp;U'!$H10/ROUNDUP(Assumptions!$F$23/12,0),IF(AND(U$284&gt;=Assumptions!$F$24,U$284&lt;Assumptions!$F$26),'S&amp;U'!$H42/ROUNDUP(Assumptions!$F$25/12,0),0))</f>
        <v>0</v>
      </c>
      <c r="V288" s="151">
        <f>+IF(AND(V$284&gt;=Assumptions!$F$22,V$284&lt;Assumptions!$F$24),'S&amp;U'!$H10/ROUNDUP(Assumptions!$F$23/12,0),IF(AND(V$284&gt;=Assumptions!$F$24,V$284&lt;Assumptions!$F$26),'S&amp;U'!$H42/ROUNDUP(Assumptions!$F$25/12,0),0))</f>
        <v>0</v>
      </c>
      <c r="W288" s="151">
        <f>+IF(AND(W$284&gt;=Assumptions!$F$22,W$284&lt;Assumptions!$F$24),'S&amp;U'!$H10/ROUNDUP(Assumptions!$F$23/12,0),IF(AND(W$284&gt;=Assumptions!$F$24,W$284&lt;Assumptions!$F$26),'S&amp;U'!$H42/ROUNDUP(Assumptions!$F$25/12,0),0))</f>
        <v>0</v>
      </c>
      <c r="X288" s="151">
        <f>+IF(AND(X$284&gt;=Assumptions!$F$22,X$284&lt;Assumptions!$F$24),'S&amp;U'!$H10/ROUNDUP(Assumptions!$F$23/12,0),IF(AND(X$284&gt;=Assumptions!$F$24,X$284&lt;Assumptions!$F$26),'S&amp;U'!$H42/ROUNDUP(Assumptions!$F$25/12,0),0))</f>
        <v>0</v>
      </c>
      <c r="Y288" s="151">
        <f>+IF(AND(Y$284&gt;=Assumptions!$F$22,Y$284&lt;Assumptions!$F$24),'S&amp;U'!$H10/ROUNDUP(Assumptions!$F$23/12,0),IF(AND(Y$284&gt;=Assumptions!$F$24,Y$284&lt;Assumptions!$F$26),'S&amp;U'!$H42/ROUNDUP(Assumptions!$F$25/12,0),0))</f>
        <v>0</v>
      </c>
      <c r="Z288" s="151">
        <f>+IF(AND(Z$284&gt;=Assumptions!$F$22,Z$284&lt;Assumptions!$F$24),'S&amp;U'!$H10/ROUNDUP(Assumptions!$F$23/12,0),IF(AND(Z$284&gt;=Assumptions!$F$24,Z$284&lt;Assumptions!$F$26),'S&amp;U'!$H42/ROUNDUP(Assumptions!$F$25/12,0),0))</f>
        <v>0</v>
      </c>
    </row>
    <row r="289" spans="1:26" x14ac:dyDescent="0.35">
      <c r="B289" s="33" t="s">
        <v>80</v>
      </c>
      <c r="D289" s="48">
        <f t="shared" ca="1" si="547"/>
        <v>28164860.643364143</v>
      </c>
      <c r="E289" s="48"/>
      <c r="F289" s="151">
        <f>+IF(AND(F$284&gt;=Assumptions!$F$22,F$284&lt;Assumptions!$F$24),'S&amp;U'!$H11/ROUNDUP(Assumptions!$F$23/12,0),IF(AND(F$284&gt;=Assumptions!$F$24,F$284&lt;Assumptions!$F$26),'S&amp;U'!$H43/ROUNDUP(Assumptions!$F$25/12,0),0))</f>
        <v>0</v>
      </c>
      <c r="G289" s="151">
        <f ca="1">+IF(AND(G$284&gt;=Assumptions!$F$22,G$284&lt;Assumptions!$F$24),'S&amp;U'!$H11/ROUNDUP(Assumptions!$F$23/12,0),IF(AND(G$284&gt;=Assumptions!$F$24,G$284&lt;Assumptions!$F$26),'S&amp;U'!$H43/ROUNDUP(Assumptions!$F$25/12,0),0))</f>
        <v>14082430.321682071</v>
      </c>
      <c r="H289" s="151">
        <f ca="1">+IF(AND(H$284&gt;=Assumptions!$F$22,H$284&lt;Assumptions!$F$24),'S&amp;U'!$H11/ROUNDUP(Assumptions!$F$23/12,0),IF(AND(H$284&gt;=Assumptions!$F$24,H$284&lt;Assumptions!$F$26),'S&amp;U'!$H43/ROUNDUP(Assumptions!$F$25/12,0),0))</f>
        <v>14082430.321682071</v>
      </c>
      <c r="I289" s="151">
        <f>+IF(AND(I$284&gt;=Assumptions!$F$22,I$284&lt;Assumptions!$F$24),'S&amp;U'!$H11/ROUNDUP(Assumptions!$F$23/12,0),IF(AND(I$284&gt;=Assumptions!$F$24,I$284&lt;Assumptions!$F$26),'S&amp;U'!$H43/ROUNDUP(Assumptions!$F$25/12,0),0))</f>
        <v>0</v>
      </c>
      <c r="J289" s="151">
        <f>+IF(AND(J$284&gt;=Assumptions!$F$22,J$284&lt;Assumptions!$F$24),'S&amp;U'!$H11/ROUNDUP(Assumptions!$F$23/12,0),IF(AND(J$284&gt;=Assumptions!$F$24,J$284&lt;Assumptions!$F$26),'S&amp;U'!$H43/ROUNDUP(Assumptions!$F$25/12,0),0))</f>
        <v>0</v>
      </c>
      <c r="K289" s="151">
        <f>+IF(AND(K$284&gt;=Assumptions!$F$22,K$284&lt;Assumptions!$F$24),'S&amp;U'!$H11/ROUNDUP(Assumptions!$F$23/12,0),IF(AND(K$284&gt;=Assumptions!$F$24,K$284&lt;Assumptions!$F$26),'S&amp;U'!$H43/ROUNDUP(Assumptions!$F$25/12,0),0))</f>
        <v>0</v>
      </c>
      <c r="L289" s="151">
        <f>+IF(AND(L$284&gt;=Assumptions!$F$22,L$284&lt;Assumptions!$F$24),'S&amp;U'!$H11/ROUNDUP(Assumptions!$F$23/12,0),IF(AND(L$284&gt;=Assumptions!$F$24,L$284&lt;Assumptions!$F$26),'S&amp;U'!$H43/ROUNDUP(Assumptions!$F$25/12,0),0))</f>
        <v>0</v>
      </c>
      <c r="M289" s="151">
        <f>+IF(AND(M$284&gt;=Assumptions!$F$22,M$284&lt;Assumptions!$F$24),'S&amp;U'!$H11/ROUNDUP(Assumptions!$F$23/12,0),IF(AND(M$284&gt;=Assumptions!$F$24,M$284&lt;Assumptions!$F$26),'S&amp;U'!$H43/ROUNDUP(Assumptions!$F$25/12,0),0))</f>
        <v>0</v>
      </c>
      <c r="N289" s="151">
        <f>+IF(AND(N$284&gt;=Assumptions!$F$22,N$284&lt;Assumptions!$F$24),'S&amp;U'!$H11/ROUNDUP(Assumptions!$F$23/12,0),IF(AND(N$284&gt;=Assumptions!$F$24,N$284&lt;Assumptions!$F$26),'S&amp;U'!$H43/ROUNDUP(Assumptions!$F$25/12,0),0))</f>
        <v>0</v>
      </c>
      <c r="O289" s="151">
        <f>+IF(AND(O$284&gt;=Assumptions!$F$22,O$284&lt;Assumptions!$F$24),'S&amp;U'!$H11/ROUNDUP(Assumptions!$F$23/12,0),IF(AND(O$284&gt;=Assumptions!$F$24,O$284&lt;Assumptions!$F$26),'S&amp;U'!$H43/ROUNDUP(Assumptions!$F$25/12,0),0))</f>
        <v>0</v>
      </c>
      <c r="P289" s="151">
        <f>+IF(AND(P$284&gt;=Assumptions!$F$22,P$284&lt;Assumptions!$F$24),'S&amp;U'!$H11/ROUNDUP(Assumptions!$F$23/12,0),IF(AND(P$284&gt;=Assumptions!$F$24,P$284&lt;Assumptions!$F$26),'S&amp;U'!$H43/ROUNDUP(Assumptions!$F$25/12,0),0))</f>
        <v>0</v>
      </c>
      <c r="Q289" s="151">
        <f>+IF(AND(Q$284&gt;=Assumptions!$F$22,Q$284&lt;Assumptions!$F$24),'S&amp;U'!$H11/ROUNDUP(Assumptions!$F$23/12,0),IF(AND(Q$284&gt;=Assumptions!$F$24,Q$284&lt;Assumptions!$F$26),'S&amp;U'!$H43/ROUNDUP(Assumptions!$F$25/12,0),0))</f>
        <v>0</v>
      </c>
      <c r="R289" s="151">
        <f>+IF(AND(R$284&gt;=Assumptions!$F$22,R$284&lt;Assumptions!$F$24),'S&amp;U'!$H11/ROUNDUP(Assumptions!$F$23/12,0),IF(AND(R$284&gt;=Assumptions!$F$24,R$284&lt;Assumptions!$F$26),'S&amp;U'!$H43/ROUNDUP(Assumptions!$F$25/12,0),0))</f>
        <v>0</v>
      </c>
      <c r="S289" s="151">
        <f>+IF(AND(S$284&gt;=Assumptions!$F$22,S$284&lt;Assumptions!$F$24),'S&amp;U'!$H11/ROUNDUP(Assumptions!$F$23/12,0),IF(AND(S$284&gt;=Assumptions!$F$24,S$284&lt;Assumptions!$F$26),'S&amp;U'!$H43/ROUNDUP(Assumptions!$F$25/12,0),0))</f>
        <v>0</v>
      </c>
      <c r="T289" s="151">
        <f>+IF(AND(T$284&gt;=Assumptions!$F$22,T$284&lt;Assumptions!$F$24),'S&amp;U'!$H11/ROUNDUP(Assumptions!$F$23/12,0),IF(AND(T$284&gt;=Assumptions!$F$24,T$284&lt;Assumptions!$F$26),'S&amp;U'!$H43/ROUNDUP(Assumptions!$F$25/12,0),0))</f>
        <v>0</v>
      </c>
      <c r="U289" s="151">
        <f>+IF(AND(U$284&gt;=Assumptions!$F$22,U$284&lt;Assumptions!$F$24),'S&amp;U'!$H11/ROUNDUP(Assumptions!$F$23/12,0),IF(AND(U$284&gt;=Assumptions!$F$24,U$284&lt;Assumptions!$F$26),'S&amp;U'!$H43/ROUNDUP(Assumptions!$F$25/12,0),0))</f>
        <v>0</v>
      </c>
      <c r="V289" s="151">
        <f>+IF(AND(V$284&gt;=Assumptions!$F$22,V$284&lt;Assumptions!$F$24),'S&amp;U'!$H11/ROUNDUP(Assumptions!$F$23/12,0),IF(AND(V$284&gt;=Assumptions!$F$24,V$284&lt;Assumptions!$F$26),'S&amp;U'!$H43/ROUNDUP(Assumptions!$F$25/12,0),0))</f>
        <v>0</v>
      </c>
      <c r="W289" s="151">
        <f>+IF(AND(W$284&gt;=Assumptions!$F$22,W$284&lt;Assumptions!$F$24),'S&amp;U'!$H11/ROUNDUP(Assumptions!$F$23/12,0),IF(AND(W$284&gt;=Assumptions!$F$24,W$284&lt;Assumptions!$F$26),'S&amp;U'!$H43/ROUNDUP(Assumptions!$F$25/12,0),0))</f>
        <v>0</v>
      </c>
      <c r="X289" s="151">
        <f>+IF(AND(X$284&gt;=Assumptions!$F$22,X$284&lt;Assumptions!$F$24),'S&amp;U'!$H11/ROUNDUP(Assumptions!$F$23/12,0),IF(AND(X$284&gt;=Assumptions!$F$24,X$284&lt;Assumptions!$F$26),'S&amp;U'!$H43/ROUNDUP(Assumptions!$F$25/12,0),0))</f>
        <v>0</v>
      </c>
      <c r="Y289" s="151">
        <f>+IF(AND(Y$284&gt;=Assumptions!$F$22,Y$284&lt;Assumptions!$F$24),'S&amp;U'!$H11/ROUNDUP(Assumptions!$F$23/12,0),IF(AND(Y$284&gt;=Assumptions!$F$24,Y$284&lt;Assumptions!$F$26),'S&amp;U'!$H43/ROUNDUP(Assumptions!$F$25/12,0),0))</f>
        <v>0</v>
      </c>
      <c r="Z289" s="151">
        <f>+IF(AND(Z$284&gt;=Assumptions!$F$22,Z$284&lt;Assumptions!$F$24),'S&amp;U'!$H11/ROUNDUP(Assumptions!$F$23/12,0),IF(AND(Z$284&gt;=Assumptions!$F$24,Z$284&lt;Assumptions!$F$26),'S&amp;U'!$H43/ROUNDUP(Assumptions!$F$25/12,0),0))</f>
        <v>0</v>
      </c>
    </row>
    <row r="290" spans="1:26" x14ac:dyDescent="0.35">
      <c r="B290" s="33" t="s">
        <v>83</v>
      </c>
      <c r="D290" s="48">
        <f t="shared" ca="1" si="547"/>
        <v>764323.10105370777</v>
      </c>
      <c r="E290" s="48"/>
      <c r="F290" s="151">
        <f>+IF(AND(F$284&gt;=Assumptions!$F$22,F$284&lt;Assumptions!$F$24),'S&amp;U'!$H12/ROUNDUP(Assumptions!$F$23/12,0),IF(AND(F$284&gt;=Assumptions!$F$24,F$284&lt;Assumptions!$F$26),'S&amp;U'!$H44/ROUNDUP(Assumptions!$F$25/12,0),0))</f>
        <v>0</v>
      </c>
      <c r="G290" s="151">
        <f ca="1">+IF(AND(G$284&gt;=Assumptions!$F$22,G$284&lt;Assumptions!$F$24),'S&amp;U'!$H12/ROUNDUP(Assumptions!$F$23/12,0),IF(AND(G$284&gt;=Assumptions!$F$24,G$284&lt;Assumptions!$F$26),'S&amp;U'!$H44/ROUNDUP(Assumptions!$F$25/12,0),0))</f>
        <v>382161.55052685388</v>
      </c>
      <c r="H290" s="151">
        <f ca="1">+IF(AND(H$284&gt;=Assumptions!$F$22,H$284&lt;Assumptions!$F$24),'S&amp;U'!$H12/ROUNDUP(Assumptions!$F$23/12,0),IF(AND(H$284&gt;=Assumptions!$F$24,H$284&lt;Assumptions!$F$26),'S&amp;U'!$H44/ROUNDUP(Assumptions!$F$25/12,0),0))</f>
        <v>382161.55052685388</v>
      </c>
      <c r="I290" s="151">
        <f>+IF(AND(I$284&gt;=Assumptions!$F$22,I$284&lt;Assumptions!$F$24),'S&amp;U'!$H12/ROUNDUP(Assumptions!$F$23/12,0),IF(AND(I$284&gt;=Assumptions!$F$24,I$284&lt;Assumptions!$F$26),'S&amp;U'!$H44/ROUNDUP(Assumptions!$F$25/12,0),0))</f>
        <v>0</v>
      </c>
      <c r="J290" s="151">
        <f>+IF(AND(J$284&gt;=Assumptions!$F$22,J$284&lt;Assumptions!$F$24),'S&amp;U'!$H12/ROUNDUP(Assumptions!$F$23/12,0),IF(AND(J$284&gt;=Assumptions!$F$24,J$284&lt;Assumptions!$F$26),'S&amp;U'!$H44/ROUNDUP(Assumptions!$F$25/12,0),0))</f>
        <v>0</v>
      </c>
      <c r="K290" s="151">
        <f>+IF(AND(K$284&gt;=Assumptions!$F$22,K$284&lt;Assumptions!$F$24),'S&amp;U'!$H12/ROUNDUP(Assumptions!$F$23/12,0),IF(AND(K$284&gt;=Assumptions!$F$24,K$284&lt;Assumptions!$F$26),'S&amp;U'!$H44/ROUNDUP(Assumptions!$F$25/12,0),0))</f>
        <v>0</v>
      </c>
      <c r="L290" s="151">
        <f>+IF(AND(L$284&gt;=Assumptions!$F$22,L$284&lt;Assumptions!$F$24),'S&amp;U'!$H12/ROUNDUP(Assumptions!$F$23/12,0),IF(AND(L$284&gt;=Assumptions!$F$24,L$284&lt;Assumptions!$F$26),'S&amp;U'!$H44/ROUNDUP(Assumptions!$F$25/12,0),0))</f>
        <v>0</v>
      </c>
      <c r="M290" s="151">
        <f>+IF(AND(M$284&gt;=Assumptions!$F$22,M$284&lt;Assumptions!$F$24),'S&amp;U'!$H12/ROUNDUP(Assumptions!$F$23/12,0),IF(AND(M$284&gt;=Assumptions!$F$24,M$284&lt;Assumptions!$F$26),'S&amp;U'!$H44/ROUNDUP(Assumptions!$F$25/12,0),0))</f>
        <v>0</v>
      </c>
      <c r="N290" s="151">
        <f>+IF(AND(N$284&gt;=Assumptions!$F$22,N$284&lt;Assumptions!$F$24),'S&amp;U'!$H12/ROUNDUP(Assumptions!$F$23/12,0),IF(AND(N$284&gt;=Assumptions!$F$24,N$284&lt;Assumptions!$F$26),'S&amp;U'!$H44/ROUNDUP(Assumptions!$F$25/12,0),0))</f>
        <v>0</v>
      </c>
      <c r="O290" s="151">
        <f>+IF(AND(O$284&gt;=Assumptions!$F$22,O$284&lt;Assumptions!$F$24),'S&amp;U'!$H12/ROUNDUP(Assumptions!$F$23/12,0),IF(AND(O$284&gt;=Assumptions!$F$24,O$284&lt;Assumptions!$F$26),'S&amp;U'!$H44/ROUNDUP(Assumptions!$F$25/12,0),0))</f>
        <v>0</v>
      </c>
      <c r="P290" s="151">
        <f>+IF(AND(P$284&gt;=Assumptions!$F$22,P$284&lt;Assumptions!$F$24),'S&amp;U'!$H12/ROUNDUP(Assumptions!$F$23/12,0),IF(AND(P$284&gt;=Assumptions!$F$24,P$284&lt;Assumptions!$F$26),'S&amp;U'!$H44/ROUNDUP(Assumptions!$F$25/12,0),0))</f>
        <v>0</v>
      </c>
      <c r="Q290" s="151">
        <f>+IF(AND(Q$284&gt;=Assumptions!$F$22,Q$284&lt;Assumptions!$F$24),'S&amp;U'!$H12/ROUNDUP(Assumptions!$F$23/12,0),IF(AND(Q$284&gt;=Assumptions!$F$24,Q$284&lt;Assumptions!$F$26),'S&amp;U'!$H44/ROUNDUP(Assumptions!$F$25/12,0),0))</f>
        <v>0</v>
      </c>
      <c r="R290" s="151">
        <f>+IF(AND(R$284&gt;=Assumptions!$F$22,R$284&lt;Assumptions!$F$24),'S&amp;U'!$H12/ROUNDUP(Assumptions!$F$23/12,0),IF(AND(R$284&gt;=Assumptions!$F$24,R$284&lt;Assumptions!$F$26),'S&amp;U'!$H44/ROUNDUP(Assumptions!$F$25/12,0),0))</f>
        <v>0</v>
      </c>
      <c r="S290" s="151">
        <f>+IF(AND(S$284&gt;=Assumptions!$F$22,S$284&lt;Assumptions!$F$24),'S&amp;U'!$H12/ROUNDUP(Assumptions!$F$23/12,0),IF(AND(S$284&gt;=Assumptions!$F$24,S$284&lt;Assumptions!$F$26),'S&amp;U'!$H44/ROUNDUP(Assumptions!$F$25/12,0),0))</f>
        <v>0</v>
      </c>
      <c r="T290" s="151">
        <f>+IF(AND(T$284&gt;=Assumptions!$F$22,T$284&lt;Assumptions!$F$24),'S&amp;U'!$H12/ROUNDUP(Assumptions!$F$23/12,0),IF(AND(T$284&gt;=Assumptions!$F$24,T$284&lt;Assumptions!$F$26),'S&amp;U'!$H44/ROUNDUP(Assumptions!$F$25/12,0),0))</f>
        <v>0</v>
      </c>
      <c r="U290" s="151">
        <f>+IF(AND(U$284&gt;=Assumptions!$F$22,U$284&lt;Assumptions!$F$24),'S&amp;U'!$H12/ROUNDUP(Assumptions!$F$23/12,0),IF(AND(U$284&gt;=Assumptions!$F$24,U$284&lt;Assumptions!$F$26),'S&amp;U'!$H44/ROUNDUP(Assumptions!$F$25/12,0),0))</f>
        <v>0</v>
      </c>
      <c r="V290" s="151">
        <f>+IF(AND(V$284&gt;=Assumptions!$F$22,V$284&lt;Assumptions!$F$24),'S&amp;U'!$H12/ROUNDUP(Assumptions!$F$23/12,0),IF(AND(V$284&gt;=Assumptions!$F$24,V$284&lt;Assumptions!$F$26),'S&amp;U'!$H44/ROUNDUP(Assumptions!$F$25/12,0),0))</f>
        <v>0</v>
      </c>
      <c r="W290" s="151">
        <f>+IF(AND(W$284&gt;=Assumptions!$F$22,W$284&lt;Assumptions!$F$24),'S&amp;U'!$H12/ROUNDUP(Assumptions!$F$23/12,0),IF(AND(W$284&gt;=Assumptions!$F$24,W$284&lt;Assumptions!$F$26),'S&amp;U'!$H44/ROUNDUP(Assumptions!$F$25/12,0),0))</f>
        <v>0</v>
      </c>
      <c r="X290" s="151">
        <f>+IF(AND(X$284&gt;=Assumptions!$F$22,X$284&lt;Assumptions!$F$24),'S&amp;U'!$H12/ROUNDUP(Assumptions!$F$23/12,0),IF(AND(X$284&gt;=Assumptions!$F$24,X$284&lt;Assumptions!$F$26),'S&amp;U'!$H44/ROUNDUP(Assumptions!$F$25/12,0),0))</f>
        <v>0</v>
      </c>
      <c r="Y290" s="151">
        <f>+IF(AND(Y$284&gt;=Assumptions!$F$22,Y$284&lt;Assumptions!$F$24),'S&amp;U'!$H12/ROUNDUP(Assumptions!$F$23/12,0),IF(AND(Y$284&gt;=Assumptions!$F$24,Y$284&lt;Assumptions!$F$26),'S&amp;U'!$H44/ROUNDUP(Assumptions!$F$25/12,0),0))</f>
        <v>0</v>
      </c>
      <c r="Z290" s="151">
        <f>+IF(AND(Z$284&gt;=Assumptions!$F$22,Z$284&lt;Assumptions!$F$24),'S&amp;U'!$H12/ROUNDUP(Assumptions!$F$23/12,0),IF(AND(Z$284&gt;=Assumptions!$F$24,Z$284&lt;Assumptions!$F$26),'S&amp;U'!$H44/ROUNDUP(Assumptions!$F$25/12,0),0))</f>
        <v>0</v>
      </c>
    </row>
    <row r="291" spans="1:26" x14ac:dyDescent="0.35">
      <c r="B291" s="33" t="s">
        <v>60</v>
      </c>
      <c r="D291" s="48">
        <f t="shared" ca="1" si="547"/>
        <v>11439161.391024234</v>
      </c>
      <c r="E291" s="48"/>
      <c r="F291" s="151">
        <f ca="1">+IF(AND(F$284&gt;=Assumptions!$F$22,F$284&lt;Assumptions!$F$24),'S&amp;U'!$H13/ROUNDUP(Assumptions!$F$23/12,0),IF(AND(F$284&gt;=Assumptions!$F$24,F$284&lt;Assumptions!$F$28),'S&amp;U'!$H45/ROUNDUP((Assumptions!$F$25+Assumptions!$F$27)/12,0),0))</f>
        <v>0</v>
      </c>
      <c r="G291" s="151">
        <f ca="1">+IF(AND(G$284&gt;=Assumptions!$F$22,G$284&lt;Assumptions!$F$24),'S&amp;U'!$H13/ROUNDUP(Assumptions!$F$23/12,0),IF(AND(G$284&gt;=Assumptions!$F$24,G$284&lt;Assumptions!$F$28),'S&amp;U'!$H45/ROUNDUP((Assumptions!$F$25+Assumptions!$F$27)/12,0),0))</f>
        <v>2859790.3477560584</v>
      </c>
      <c r="H291" s="151">
        <f ca="1">+IF(AND(H$284&gt;=Assumptions!$F$22,H$284&lt;Assumptions!$F$24),'S&amp;U'!$H13/ROUNDUP(Assumptions!$F$23/12,0),IF(AND(H$284&gt;=Assumptions!$F$24,H$284&lt;Assumptions!$F$28),'S&amp;U'!$H45/ROUNDUP((Assumptions!$F$25+Assumptions!$F$27)/12,0),0))</f>
        <v>2859790.3477560584</v>
      </c>
      <c r="I291" s="151">
        <f ca="1">+IF(AND(I$284&gt;=Assumptions!$F$22,I$284&lt;Assumptions!$F$24),'S&amp;U'!$H13/ROUNDUP(Assumptions!$F$23/12,0),IF(AND(I$284&gt;=Assumptions!$F$24,I$284&lt;Assumptions!$F$28),'S&amp;U'!$H45/ROUNDUP((Assumptions!$F$25+Assumptions!$F$27)/12,0),0))</f>
        <v>2859790.3477560584</v>
      </c>
      <c r="J291" s="151">
        <f ca="1">+IF(AND(J$284&gt;=Assumptions!$F$22,J$284&lt;Assumptions!$F$24),'S&amp;U'!$H13/ROUNDUP(Assumptions!$F$23/12,0),IF(AND(J$284&gt;=Assumptions!$F$24,J$284&lt;Assumptions!$F$28),'S&amp;U'!$H45/ROUNDUP((Assumptions!$F$25+Assumptions!$F$27)/12,0),0))</f>
        <v>2859790.3477560584</v>
      </c>
      <c r="K291" s="151">
        <f>+IF(AND(K$284&gt;=Assumptions!$F$22,K$284&lt;Assumptions!$F$24),'S&amp;U'!$H13/ROUNDUP(Assumptions!$F$23/12,0),IF(AND(K$284&gt;=Assumptions!$F$24,K$284&lt;Assumptions!$F$28),'S&amp;U'!$H45/ROUNDUP((Assumptions!$F$25+Assumptions!$F$27)/12,0),0))</f>
        <v>0</v>
      </c>
      <c r="L291" s="151">
        <f>+IF(AND(L$284&gt;=Assumptions!$F$22,L$284&lt;Assumptions!$F$24),'S&amp;U'!$H13/ROUNDUP(Assumptions!$F$23/12,0),IF(AND(L$284&gt;=Assumptions!$F$24,L$284&lt;Assumptions!$F$28),'S&amp;U'!$H45/ROUNDUP((Assumptions!$F$25+Assumptions!$F$27)/12,0),0))</f>
        <v>0</v>
      </c>
      <c r="M291" s="151">
        <f>+IF(AND(M$284&gt;=Assumptions!$F$22,M$284&lt;Assumptions!$F$24),'S&amp;U'!$H13/ROUNDUP(Assumptions!$F$23/12,0),IF(AND(M$284&gt;=Assumptions!$F$24,M$284&lt;Assumptions!$F$28),'S&amp;U'!$H45/ROUNDUP((Assumptions!$F$25+Assumptions!$F$27)/12,0),0))</f>
        <v>0</v>
      </c>
      <c r="N291" s="151">
        <f>+IF(AND(N$284&gt;=Assumptions!$F$22,N$284&lt;Assumptions!$F$24),'S&amp;U'!$H13/ROUNDUP(Assumptions!$F$23/12,0),IF(AND(N$284&gt;=Assumptions!$F$24,N$284&lt;Assumptions!$F$28),'S&amp;U'!$H45/ROUNDUP((Assumptions!$F$25+Assumptions!$F$27)/12,0),0))</f>
        <v>0</v>
      </c>
      <c r="O291" s="151">
        <f>+IF(AND(O$284&gt;=Assumptions!$F$22,O$284&lt;Assumptions!$F$24),'S&amp;U'!$H13/ROUNDUP(Assumptions!$F$23/12,0),IF(AND(O$284&gt;=Assumptions!$F$24,O$284&lt;Assumptions!$F$28),'S&amp;U'!$H45/ROUNDUP((Assumptions!$F$25+Assumptions!$F$27)/12,0),0))</f>
        <v>0</v>
      </c>
      <c r="P291" s="151">
        <f>+IF(AND(P$284&gt;=Assumptions!$F$22,P$284&lt;Assumptions!$F$24),'S&amp;U'!$H13/ROUNDUP(Assumptions!$F$23/12,0),IF(AND(P$284&gt;=Assumptions!$F$24,P$284&lt;Assumptions!$F$28),'S&amp;U'!$H45/ROUNDUP((Assumptions!$F$25+Assumptions!$F$27)/12,0),0))</f>
        <v>0</v>
      </c>
      <c r="Q291" s="151">
        <f>+IF(AND(Q$284&gt;=Assumptions!$F$22,Q$284&lt;Assumptions!$F$24),'S&amp;U'!$H13/ROUNDUP(Assumptions!$F$23/12,0),IF(AND(Q$284&gt;=Assumptions!$F$24,Q$284&lt;Assumptions!$F$28),'S&amp;U'!$H45/ROUNDUP((Assumptions!$F$25+Assumptions!$F$27)/12,0),0))</f>
        <v>0</v>
      </c>
      <c r="R291" s="151">
        <f>+IF(AND(R$284&gt;=Assumptions!$F$22,R$284&lt;Assumptions!$F$24),'S&amp;U'!$H13/ROUNDUP(Assumptions!$F$23/12,0),IF(AND(R$284&gt;=Assumptions!$F$24,R$284&lt;Assumptions!$F$28),'S&amp;U'!$H45/ROUNDUP((Assumptions!$F$25+Assumptions!$F$27)/12,0),0))</f>
        <v>0</v>
      </c>
      <c r="S291" s="151">
        <f>+IF(AND(S$284&gt;=Assumptions!$F$22,S$284&lt;Assumptions!$F$24),'S&amp;U'!$H13/ROUNDUP(Assumptions!$F$23/12,0),IF(AND(S$284&gt;=Assumptions!$F$24,S$284&lt;Assumptions!$F$28),'S&amp;U'!$H45/ROUNDUP((Assumptions!$F$25+Assumptions!$F$27)/12,0),0))</f>
        <v>0</v>
      </c>
      <c r="T291" s="151">
        <f>+IF(AND(T$284&gt;=Assumptions!$F$22,T$284&lt;Assumptions!$F$24),'S&amp;U'!$H13/ROUNDUP(Assumptions!$F$23/12,0),IF(AND(T$284&gt;=Assumptions!$F$24,T$284&lt;Assumptions!$F$28),'S&amp;U'!$H45/ROUNDUP((Assumptions!$F$25+Assumptions!$F$27)/12,0),0))</f>
        <v>0</v>
      </c>
      <c r="U291" s="151">
        <f>+IF(AND(U$284&gt;=Assumptions!$F$22,U$284&lt;Assumptions!$F$24),'S&amp;U'!$H13/ROUNDUP(Assumptions!$F$23/12,0),IF(AND(U$284&gt;=Assumptions!$F$24,U$284&lt;Assumptions!$F$28),'S&amp;U'!$H45/ROUNDUP((Assumptions!$F$25+Assumptions!$F$27)/12,0),0))</f>
        <v>0</v>
      </c>
      <c r="V291" s="151">
        <f>+IF(AND(V$284&gt;=Assumptions!$F$22,V$284&lt;Assumptions!$F$24),'S&amp;U'!$H13/ROUNDUP(Assumptions!$F$23/12,0),IF(AND(V$284&gt;=Assumptions!$F$24,V$284&lt;Assumptions!$F$28),'S&amp;U'!$H45/ROUNDUP((Assumptions!$F$25+Assumptions!$F$27)/12,0),0))</f>
        <v>0</v>
      </c>
      <c r="W291" s="151">
        <f>+IF(AND(W$284&gt;=Assumptions!$F$22,W$284&lt;Assumptions!$F$24),'S&amp;U'!$H13/ROUNDUP(Assumptions!$F$23/12,0),IF(AND(W$284&gt;=Assumptions!$F$24,W$284&lt;Assumptions!$F$28),'S&amp;U'!$H45/ROUNDUP((Assumptions!$F$25+Assumptions!$F$27)/12,0),0))</f>
        <v>0</v>
      </c>
      <c r="X291" s="151">
        <f>+IF(AND(X$284&gt;=Assumptions!$F$22,X$284&lt;Assumptions!$F$24),'S&amp;U'!$H13/ROUNDUP(Assumptions!$F$23/12,0),IF(AND(X$284&gt;=Assumptions!$F$24,X$284&lt;Assumptions!$F$28),'S&amp;U'!$H45/ROUNDUP((Assumptions!$F$25+Assumptions!$F$27)/12,0),0))</f>
        <v>0</v>
      </c>
      <c r="Y291" s="151">
        <f>+IF(AND(Y$284&gt;=Assumptions!$F$22,Y$284&lt;Assumptions!$F$24),'S&amp;U'!$H13/ROUNDUP(Assumptions!$F$23/12,0),IF(AND(Y$284&gt;=Assumptions!$F$24,Y$284&lt;Assumptions!$F$28),'S&amp;U'!$H45/ROUNDUP((Assumptions!$F$25+Assumptions!$F$27)/12,0),0))</f>
        <v>0</v>
      </c>
      <c r="Z291" s="151">
        <f>+IF(AND(Z$284&gt;=Assumptions!$F$22,Z$284&lt;Assumptions!$F$24),'S&amp;U'!$H13/ROUNDUP(Assumptions!$F$23/12,0),IF(AND(Z$284&gt;=Assumptions!$F$24,Z$284&lt;Assumptions!$F$28),'S&amp;U'!$H45/ROUNDUP((Assumptions!$F$25+Assumptions!$F$27)/12,0),0))</f>
        <v>0</v>
      </c>
    </row>
    <row r="292" spans="1:26" x14ac:dyDescent="0.35">
      <c r="B292" s="138" t="s">
        <v>20</v>
      </c>
      <c r="C292" s="138"/>
      <c r="D292" s="139">
        <f ca="1">+SUM(F292:Z292)</f>
        <v>399644692.09183216</v>
      </c>
      <c r="E292" s="139"/>
      <c r="F292" s="139">
        <f ca="1">+SUM(F285:F291)</f>
        <v>51495790.787373006</v>
      </c>
      <c r="G292" s="139">
        <f t="shared" ref="G292:Z292" ca="1" si="548">+SUM(G285:G291)</f>
        <v>171214660.30447349</v>
      </c>
      <c r="H292" s="139">
        <f t="shared" ca="1" si="548"/>
        <v>171214660.30447349</v>
      </c>
      <c r="I292" s="139">
        <f t="shared" ca="1" si="548"/>
        <v>2859790.3477560584</v>
      </c>
      <c r="J292" s="139">
        <f t="shared" ca="1" si="548"/>
        <v>2859790.3477560584</v>
      </c>
      <c r="K292" s="139">
        <f t="shared" si="548"/>
        <v>0</v>
      </c>
      <c r="L292" s="139">
        <f t="shared" si="548"/>
        <v>0</v>
      </c>
      <c r="M292" s="139">
        <f t="shared" si="548"/>
        <v>0</v>
      </c>
      <c r="N292" s="139">
        <f t="shared" si="548"/>
        <v>0</v>
      </c>
      <c r="O292" s="139">
        <f t="shared" si="548"/>
        <v>0</v>
      </c>
      <c r="P292" s="139">
        <f t="shared" si="548"/>
        <v>0</v>
      </c>
      <c r="Q292" s="139">
        <f t="shared" si="548"/>
        <v>0</v>
      </c>
      <c r="R292" s="139">
        <f t="shared" si="548"/>
        <v>0</v>
      </c>
      <c r="S292" s="139">
        <f t="shared" si="548"/>
        <v>0</v>
      </c>
      <c r="T292" s="139">
        <f t="shared" si="548"/>
        <v>0</v>
      </c>
      <c r="U292" s="139">
        <f t="shared" si="548"/>
        <v>0</v>
      </c>
      <c r="V292" s="139">
        <f t="shared" si="548"/>
        <v>0</v>
      </c>
      <c r="W292" s="139">
        <f t="shared" si="548"/>
        <v>0</v>
      </c>
      <c r="X292" s="139">
        <f t="shared" si="548"/>
        <v>0</v>
      </c>
      <c r="Y292" s="139">
        <f t="shared" si="548"/>
        <v>0</v>
      </c>
      <c r="Z292" s="139">
        <f t="shared" si="548"/>
        <v>0</v>
      </c>
    </row>
    <row r="294" spans="1:26" x14ac:dyDescent="0.35">
      <c r="B294" s="148" t="s">
        <v>353</v>
      </c>
      <c r="F294" s="150">
        <f>+Assumptions!$F$22</f>
        <v>44196</v>
      </c>
      <c r="G294" s="150">
        <f>+EOMONTH(F294,12)</f>
        <v>44561</v>
      </c>
      <c r="H294" s="150">
        <f t="shared" ref="H294" si="549">+EOMONTH(G294,12)</f>
        <v>44926</v>
      </c>
      <c r="I294" s="150">
        <f t="shared" ref="I294" si="550">+EOMONTH(H294,12)</f>
        <v>45291</v>
      </c>
      <c r="J294" s="150">
        <f t="shared" ref="J294" si="551">+EOMONTH(I294,12)</f>
        <v>45657</v>
      </c>
      <c r="K294" s="150">
        <f t="shared" ref="K294" si="552">+EOMONTH(J294,12)</f>
        <v>46022</v>
      </c>
      <c r="L294" s="150">
        <f t="shared" ref="L294" si="553">+EOMONTH(K294,12)</f>
        <v>46387</v>
      </c>
      <c r="M294" s="150">
        <f t="shared" ref="M294" si="554">+EOMONTH(L294,12)</f>
        <v>46752</v>
      </c>
      <c r="N294" s="150">
        <f t="shared" ref="N294" si="555">+EOMONTH(M294,12)</f>
        <v>47118</v>
      </c>
      <c r="O294" s="150">
        <f t="shared" ref="O294" si="556">+EOMONTH(N294,12)</f>
        <v>47483</v>
      </c>
      <c r="P294" s="150">
        <f t="shared" ref="P294" si="557">+EOMONTH(O294,12)</f>
        <v>47848</v>
      </c>
      <c r="Q294" s="150">
        <f t="shared" ref="Q294" si="558">+EOMONTH(P294,12)</f>
        <v>48213</v>
      </c>
      <c r="R294" s="150">
        <f t="shared" ref="R294" si="559">+EOMONTH(Q294,12)</f>
        <v>48579</v>
      </c>
      <c r="S294" s="150">
        <f t="shared" ref="S294" si="560">+EOMONTH(R294,12)</f>
        <v>48944</v>
      </c>
      <c r="T294" s="150">
        <f t="shared" ref="T294" si="561">+EOMONTH(S294,12)</f>
        <v>49309</v>
      </c>
      <c r="U294" s="150">
        <f t="shared" ref="U294" si="562">+EOMONTH(T294,12)</f>
        <v>49674</v>
      </c>
      <c r="V294" s="150">
        <f t="shared" ref="V294" si="563">+EOMONTH(U294,12)</f>
        <v>50040</v>
      </c>
      <c r="W294" s="150">
        <f t="shared" ref="W294" si="564">+EOMONTH(V294,12)</f>
        <v>50405</v>
      </c>
      <c r="X294" s="150">
        <f t="shared" ref="X294" si="565">+EOMONTH(W294,12)</f>
        <v>50770</v>
      </c>
      <c r="Y294" s="150">
        <f t="shared" ref="Y294" si="566">+EOMONTH(X294,12)</f>
        <v>51135</v>
      </c>
      <c r="Z294" s="150">
        <f t="shared" ref="Z294" si="567">+EOMONTH(Y294,12)</f>
        <v>51501</v>
      </c>
    </row>
    <row r="295" spans="1:26" x14ac:dyDescent="0.35">
      <c r="A295" s="108"/>
      <c r="B295" s="33" t="s">
        <v>29</v>
      </c>
      <c r="D295" s="48">
        <f t="shared" ref="D295:D304" ca="1" si="568">+SUM(F295:Z295)</f>
        <v>64159011.937496722</v>
      </c>
      <c r="E295" s="48"/>
      <c r="F295" s="34">
        <f ca="1">+MIN('S&amp;U'!$H23-SUM('Phase I Pro Forma'!$E295:E295),'Phase I Pro Forma'!F$292)</f>
        <v>51495790.787373006</v>
      </c>
      <c r="G295" s="34">
        <f ca="1">+MIN('S&amp;U'!$H23-SUM('Phase I Pro Forma'!$E295:F295),'Phase I Pro Forma'!G$292)</f>
        <v>12663221.150123715</v>
      </c>
      <c r="H295" s="34">
        <f ca="1">+MIN('S&amp;U'!$H23-SUM('Phase I Pro Forma'!$E295:G295),'Phase I Pro Forma'!H$292)</f>
        <v>0</v>
      </c>
      <c r="I295" s="34">
        <f ca="1">+MIN('S&amp;U'!$H23-SUM('Phase I Pro Forma'!$E295:H295),'Phase I Pro Forma'!I$292)</f>
        <v>0</v>
      </c>
      <c r="J295" s="34">
        <f ca="1">+MIN('S&amp;U'!$H23-SUM('Phase I Pro Forma'!$E295:I295),'Phase I Pro Forma'!J$292)</f>
        <v>0</v>
      </c>
      <c r="K295" s="34">
        <f ca="1">+MIN('S&amp;U'!$H23-SUM('Phase I Pro Forma'!$E295:J295),'Phase I Pro Forma'!K$292)</f>
        <v>0</v>
      </c>
      <c r="L295" s="34">
        <f ca="1">+MIN('S&amp;U'!$H23-SUM('Phase I Pro Forma'!$E295:K295),'Phase I Pro Forma'!L$292)</f>
        <v>0</v>
      </c>
      <c r="M295" s="34">
        <f ca="1">+MIN('S&amp;U'!$H23-SUM('Phase I Pro Forma'!$E295:L295),'Phase I Pro Forma'!M$292)</f>
        <v>0</v>
      </c>
      <c r="N295" s="34">
        <f ca="1">+MIN('S&amp;U'!$H23-SUM('Phase I Pro Forma'!$E295:M295),'Phase I Pro Forma'!N$292)</f>
        <v>0</v>
      </c>
      <c r="O295" s="34">
        <f ca="1">+MIN('S&amp;U'!$H23-SUM('Phase I Pro Forma'!$E295:N295),'Phase I Pro Forma'!O$292)</f>
        <v>0</v>
      </c>
      <c r="P295" s="34">
        <f ca="1">+MIN('S&amp;U'!$H23-SUM('Phase I Pro Forma'!$E295:O295),'Phase I Pro Forma'!P$292)</f>
        <v>0</v>
      </c>
      <c r="Q295" s="34">
        <f ca="1">+MIN('S&amp;U'!$H23-SUM('Phase I Pro Forma'!$E295:P295),'Phase I Pro Forma'!Q$292)</f>
        <v>0</v>
      </c>
      <c r="R295" s="34">
        <f ca="1">+MIN('S&amp;U'!$H23-SUM('Phase I Pro Forma'!$E295:Q295),'Phase I Pro Forma'!R$292)</f>
        <v>0</v>
      </c>
      <c r="S295" s="34">
        <f ca="1">+MIN('S&amp;U'!$H23-SUM('Phase I Pro Forma'!$E295:R295),'Phase I Pro Forma'!S$292)</f>
        <v>0</v>
      </c>
      <c r="T295" s="34">
        <f ca="1">+MIN('S&amp;U'!$H23-SUM('Phase I Pro Forma'!$E295:S295),'Phase I Pro Forma'!T$292)</f>
        <v>0</v>
      </c>
      <c r="U295" s="34">
        <f ca="1">+MIN('S&amp;U'!$H23-SUM('Phase I Pro Forma'!$E295:T295),'Phase I Pro Forma'!U$292)</f>
        <v>0</v>
      </c>
      <c r="V295" s="34">
        <f ca="1">+MIN('S&amp;U'!$H23-SUM('Phase I Pro Forma'!$E295:U295),'Phase I Pro Forma'!V$292)</f>
        <v>0</v>
      </c>
      <c r="W295" s="34">
        <f ca="1">+MIN('S&amp;U'!$H23-SUM('Phase I Pro Forma'!$E295:V295),'Phase I Pro Forma'!W$292)</f>
        <v>0</v>
      </c>
      <c r="X295" s="34">
        <f ca="1">+MIN('S&amp;U'!$H23-SUM('Phase I Pro Forma'!$E295:W295),'Phase I Pro Forma'!X$292)</f>
        <v>0</v>
      </c>
      <c r="Y295" s="34">
        <f ca="1">+MIN('S&amp;U'!$H23-SUM('Phase I Pro Forma'!$E295:X295),'Phase I Pro Forma'!Y$292)</f>
        <v>0</v>
      </c>
      <c r="Z295" s="34">
        <f ca="1">+MIN('S&amp;U'!$H23-SUM('Phase I Pro Forma'!$E295:Y295),'Phase I Pro Forma'!Z$292)</f>
        <v>0</v>
      </c>
    </row>
    <row r="296" spans="1:26" x14ac:dyDescent="0.35">
      <c r="B296" s="33" t="s">
        <v>332</v>
      </c>
      <c r="D296" s="48">
        <f t="shared" ca="1" si="568"/>
        <v>0</v>
      </c>
      <c r="E296" s="48"/>
      <c r="F296" s="151">
        <f ca="1">+MIN('S&amp;U'!$H19-SUM('Phase I Pro Forma'!$E296:E296),'Phase I Pro Forma'!F$292-SUM(F$295:F295))</f>
        <v>0</v>
      </c>
      <c r="G296" s="151">
        <f ca="1">+MIN('S&amp;U'!$H19-SUM('Phase I Pro Forma'!$E296:F296),'Phase I Pro Forma'!G$292-SUM(G$295:G295))</f>
        <v>0</v>
      </c>
      <c r="H296" s="151">
        <f ca="1">+MIN('S&amp;U'!$H19-SUM('Phase I Pro Forma'!$E296:G296),'Phase I Pro Forma'!H$292-SUM(H$295:H295))</f>
        <v>0</v>
      </c>
      <c r="I296" s="151">
        <f ca="1">+MIN('S&amp;U'!$H19-SUM('Phase I Pro Forma'!$E296:H296),'Phase I Pro Forma'!I$292-SUM(I$295:I295))</f>
        <v>0</v>
      </c>
      <c r="J296" s="151">
        <f ca="1">+MIN('S&amp;U'!$H19-SUM('Phase I Pro Forma'!$E296:I296),'Phase I Pro Forma'!J$292-SUM(J$295:J295))</f>
        <v>0</v>
      </c>
      <c r="K296" s="151">
        <f ca="1">+MIN('S&amp;U'!$H19-SUM('Phase I Pro Forma'!$E296:J296),'Phase I Pro Forma'!K$292-SUM(K$295:K295))</f>
        <v>0</v>
      </c>
      <c r="L296" s="151">
        <f ca="1">+MIN('S&amp;U'!$H19-SUM('Phase I Pro Forma'!$E296:K296),'Phase I Pro Forma'!L$292-SUM(L$295:L295))</f>
        <v>0</v>
      </c>
      <c r="M296" s="151">
        <f ca="1">+MIN('S&amp;U'!$H19-SUM('Phase I Pro Forma'!$E296:L296),'Phase I Pro Forma'!M$292-SUM(M$295:M295))</f>
        <v>0</v>
      </c>
      <c r="N296" s="151">
        <f ca="1">+MIN('S&amp;U'!$H19-SUM('Phase I Pro Forma'!$E296:M296),'Phase I Pro Forma'!N$292-SUM(N$295:N295))</f>
        <v>0</v>
      </c>
      <c r="O296" s="151">
        <f ca="1">+MIN('S&amp;U'!$H19-SUM('Phase I Pro Forma'!$E296:N296),'Phase I Pro Forma'!O$292-SUM(O$295:O295))</f>
        <v>0</v>
      </c>
      <c r="P296" s="151">
        <f ca="1">+MIN('S&amp;U'!$H19-SUM('Phase I Pro Forma'!$E296:O296),'Phase I Pro Forma'!P$292-SUM(P$295:P295))</f>
        <v>0</v>
      </c>
      <c r="Q296" s="151">
        <f ca="1">+MIN('S&amp;U'!$H19-SUM('Phase I Pro Forma'!$E296:P296),'Phase I Pro Forma'!Q$292-SUM(Q$295:Q295))</f>
        <v>0</v>
      </c>
      <c r="R296" s="151">
        <f ca="1">+MIN('S&amp;U'!$H19-SUM('Phase I Pro Forma'!$E296:Q296),'Phase I Pro Forma'!R$292-SUM(R$295:R295))</f>
        <v>0</v>
      </c>
      <c r="S296" s="151">
        <f ca="1">+MIN('S&amp;U'!$H19-SUM('Phase I Pro Forma'!$E296:R296),'Phase I Pro Forma'!S$292-SUM(S$295:S295))</f>
        <v>0</v>
      </c>
      <c r="T296" s="151">
        <f ca="1">+MIN('S&amp;U'!$H19-SUM('Phase I Pro Forma'!$E296:S296),'Phase I Pro Forma'!T$292-SUM(T$295:T295))</f>
        <v>0</v>
      </c>
      <c r="U296" s="151">
        <f ca="1">+MIN('S&amp;U'!$H19-SUM('Phase I Pro Forma'!$E296:T296),'Phase I Pro Forma'!U$292-SUM(U$295:U295))</f>
        <v>0</v>
      </c>
      <c r="V296" s="151">
        <f ca="1">+MIN('S&amp;U'!$H19-SUM('Phase I Pro Forma'!$E296:U296),'Phase I Pro Forma'!V$292-SUM(V$295:V295))</f>
        <v>0</v>
      </c>
      <c r="W296" s="151">
        <f ca="1">+MIN('S&amp;U'!$H19-SUM('Phase I Pro Forma'!$E296:V296),'Phase I Pro Forma'!W$292-SUM(W$295:W295))</f>
        <v>0</v>
      </c>
      <c r="X296" s="151">
        <f ca="1">+MIN('S&amp;U'!$H19-SUM('Phase I Pro Forma'!$E296:W296),'Phase I Pro Forma'!X$292-SUM(X$295:X295))</f>
        <v>0</v>
      </c>
      <c r="Y296" s="151">
        <f ca="1">+MIN('S&amp;U'!$H19-SUM('Phase I Pro Forma'!$E296:X296),'Phase I Pro Forma'!Y$292-SUM(Y$295:Y295))</f>
        <v>0</v>
      </c>
      <c r="Z296" s="151">
        <f ca="1">+MIN('S&amp;U'!$H19-SUM('Phase I Pro Forma'!$E296:Y296),'Phase I Pro Forma'!Z$292-SUM(Z$295:Z295))</f>
        <v>0</v>
      </c>
    </row>
    <row r="297" spans="1:26" x14ac:dyDescent="0.35">
      <c r="B297" s="33" t="s">
        <v>99</v>
      </c>
      <c r="D297" s="48">
        <f t="shared" ca="1" si="568"/>
        <v>12714766.389964083</v>
      </c>
      <c r="E297" s="48"/>
      <c r="F297" s="151">
        <f ca="1">+MIN('S&amp;U'!$H20-SUM('Phase I Pro Forma'!$E297:E297),'Phase I Pro Forma'!F$292-SUM(F$295:F296))</f>
        <v>0</v>
      </c>
      <c r="G297" s="151">
        <f ca="1">+MIN('S&amp;U'!$H20-SUM('Phase I Pro Forma'!$E297:F297),'Phase I Pro Forma'!G$292-SUM(G$295:G296))</f>
        <v>12714766.389964083</v>
      </c>
      <c r="H297" s="151">
        <f ca="1">+MIN('S&amp;U'!$H20-SUM('Phase I Pro Forma'!$E297:G297),'Phase I Pro Forma'!H$292-SUM(H$295:H296))</f>
        <v>0</v>
      </c>
      <c r="I297" s="151">
        <f ca="1">+MIN('S&amp;U'!$H20-SUM('Phase I Pro Forma'!$E297:H297),'Phase I Pro Forma'!I$292-SUM(I$295:I296))</f>
        <v>0</v>
      </c>
      <c r="J297" s="151">
        <f ca="1">+MIN('S&amp;U'!$H20-SUM('Phase I Pro Forma'!$E297:I297),'Phase I Pro Forma'!J$292-SUM(J$295:J296))</f>
        <v>0</v>
      </c>
      <c r="K297" s="151">
        <f ca="1">+MIN('S&amp;U'!$H20-SUM('Phase I Pro Forma'!$E297:J297),'Phase I Pro Forma'!K$292-SUM(K$295:K296))</f>
        <v>0</v>
      </c>
      <c r="L297" s="151">
        <f ca="1">+MIN('S&amp;U'!$H20-SUM('Phase I Pro Forma'!$E297:K297),'Phase I Pro Forma'!L$292-SUM(L$295:L296))</f>
        <v>0</v>
      </c>
      <c r="M297" s="151">
        <f ca="1">+MIN('S&amp;U'!$H20-SUM('Phase I Pro Forma'!$E297:L297),'Phase I Pro Forma'!M$292-SUM(M$295:M296))</f>
        <v>0</v>
      </c>
      <c r="N297" s="151">
        <f ca="1">+MIN('S&amp;U'!$H20-SUM('Phase I Pro Forma'!$E297:M297),'Phase I Pro Forma'!N$292-SUM(N$295:N296))</f>
        <v>0</v>
      </c>
      <c r="O297" s="151">
        <f ca="1">+MIN('S&amp;U'!$H20-SUM('Phase I Pro Forma'!$E297:N297),'Phase I Pro Forma'!O$292-SUM(O$295:O296))</f>
        <v>0</v>
      </c>
      <c r="P297" s="151">
        <f ca="1">+MIN('S&amp;U'!$H20-SUM('Phase I Pro Forma'!$E297:O297),'Phase I Pro Forma'!P$292-SUM(P$295:P296))</f>
        <v>0</v>
      </c>
      <c r="Q297" s="151">
        <f ca="1">+MIN('S&amp;U'!$H20-SUM('Phase I Pro Forma'!$E297:P297),'Phase I Pro Forma'!Q$292-SUM(Q$295:Q296))</f>
        <v>0</v>
      </c>
      <c r="R297" s="151">
        <f ca="1">+MIN('S&amp;U'!$H20-SUM('Phase I Pro Forma'!$E297:Q297),'Phase I Pro Forma'!R$292-SUM(R$295:R296))</f>
        <v>0</v>
      </c>
      <c r="S297" s="151">
        <f ca="1">+MIN('S&amp;U'!$H20-SUM('Phase I Pro Forma'!$E297:R297),'Phase I Pro Forma'!S$292-SUM(S$295:S296))</f>
        <v>0</v>
      </c>
      <c r="T297" s="151">
        <f ca="1">+MIN('S&amp;U'!$H20-SUM('Phase I Pro Forma'!$E297:S297),'Phase I Pro Forma'!T$292-SUM(T$295:T296))</f>
        <v>0</v>
      </c>
      <c r="U297" s="151">
        <f ca="1">+MIN('S&amp;U'!$H20-SUM('Phase I Pro Forma'!$E297:T297),'Phase I Pro Forma'!U$292-SUM(U$295:U296))</f>
        <v>0</v>
      </c>
      <c r="V297" s="151">
        <f ca="1">+MIN('S&amp;U'!$H20-SUM('Phase I Pro Forma'!$E297:U297),'Phase I Pro Forma'!V$292-SUM(V$295:V296))</f>
        <v>0</v>
      </c>
      <c r="W297" s="151">
        <f ca="1">+MIN('S&amp;U'!$H20-SUM('Phase I Pro Forma'!$E297:V297),'Phase I Pro Forma'!W$292-SUM(W$295:W296))</f>
        <v>0</v>
      </c>
      <c r="X297" s="151">
        <f ca="1">+MIN('S&amp;U'!$H20-SUM('Phase I Pro Forma'!$E297:W297),'Phase I Pro Forma'!X$292-SUM(X$295:X296))</f>
        <v>0</v>
      </c>
      <c r="Y297" s="151">
        <f ca="1">+MIN('S&amp;U'!$H20-SUM('Phase I Pro Forma'!$E297:X297),'Phase I Pro Forma'!Y$292-SUM(Y$295:Y296))</f>
        <v>0</v>
      </c>
      <c r="Z297" s="151">
        <f ca="1">+MIN('S&amp;U'!$H20-SUM('Phase I Pro Forma'!$E297:Y297),'Phase I Pro Forma'!Z$292-SUM(Z$295:Z296))</f>
        <v>0</v>
      </c>
    </row>
    <row r="298" spans="1:26" x14ac:dyDescent="0.35">
      <c r="B298" s="33" t="s">
        <v>100</v>
      </c>
      <c r="D298" s="48">
        <f t="shared" ca="1" si="568"/>
        <v>5538000</v>
      </c>
      <c r="E298" s="48"/>
      <c r="F298" s="151">
        <f ca="1">+MIN('S&amp;U'!$H21-SUM('Phase I Pro Forma'!$E298:E298),'Phase I Pro Forma'!F$292-SUM(F$295:F297))</f>
        <v>0</v>
      </c>
      <c r="G298" s="151">
        <f ca="1">+MIN('S&amp;U'!$H21-SUM('Phase I Pro Forma'!$E298:F298),'Phase I Pro Forma'!G$292-SUM(G$295:G297))</f>
        <v>5538000</v>
      </c>
      <c r="H298" s="151">
        <f ca="1">+MIN('S&amp;U'!$H21-SUM('Phase I Pro Forma'!$E298:G298),'Phase I Pro Forma'!H$292-SUM(H$295:H297))</f>
        <v>0</v>
      </c>
      <c r="I298" s="151">
        <f ca="1">+MIN('S&amp;U'!$H21-SUM('Phase I Pro Forma'!$E298:H298),'Phase I Pro Forma'!I$292-SUM(I$295:I297))</f>
        <v>0</v>
      </c>
      <c r="J298" s="151">
        <f ca="1">+MIN('S&amp;U'!$H21-SUM('Phase I Pro Forma'!$E298:I298),'Phase I Pro Forma'!J$292-SUM(J$295:J297))</f>
        <v>0</v>
      </c>
      <c r="K298" s="151">
        <f ca="1">+MIN('S&amp;U'!$H21-SUM('Phase I Pro Forma'!$E298:J298),'Phase I Pro Forma'!K$292-SUM(K$295:K297))</f>
        <v>0</v>
      </c>
      <c r="L298" s="151">
        <f ca="1">+MIN('S&amp;U'!$H21-SUM('Phase I Pro Forma'!$E298:K298),'Phase I Pro Forma'!L$292-SUM(L$295:L297))</f>
        <v>0</v>
      </c>
      <c r="M298" s="151">
        <f ca="1">+MIN('S&amp;U'!$H21-SUM('Phase I Pro Forma'!$E298:L298),'Phase I Pro Forma'!M$292-SUM(M$295:M297))</f>
        <v>0</v>
      </c>
      <c r="N298" s="151">
        <f ca="1">+MIN('S&amp;U'!$H21-SUM('Phase I Pro Forma'!$E298:M298),'Phase I Pro Forma'!N$292-SUM(N$295:N297))</f>
        <v>0</v>
      </c>
      <c r="O298" s="151">
        <f ca="1">+MIN('S&amp;U'!$H21-SUM('Phase I Pro Forma'!$E298:N298),'Phase I Pro Forma'!O$292-SUM(O$295:O297))</f>
        <v>0</v>
      </c>
      <c r="P298" s="151">
        <f ca="1">+MIN('S&amp;U'!$H21-SUM('Phase I Pro Forma'!$E298:O298),'Phase I Pro Forma'!P$292-SUM(P$295:P297))</f>
        <v>0</v>
      </c>
      <c r="Q298" s="151">
        <f ca="1">+MIN('S&amp;U'!$H21-SUM('Phase I Pro Forma'!$E298:P298),'Phase I Pro Forma'!Q$292-SUM(Q$295:Q297))</f>
        <v>0</v>
      </c>
      <c r="R298" s="151">
        <f ca="1">+MIN('S&amp;U'!$H21-SUM('Phase I Pro Forma'!$E298:Q298),'Phase I Pro Forma'!R$292-SUM(R$295:R297))</f>
        <v>0</v>
      </c>
      <c r="S298" s="151">
        <f ca="1">+MIN('S&amp;U'!$H21-SUM('Phase I Pro Forma'!$E298:R298),'Phase I Pro Forma'!S$292-SUM(S$295:S297))</f>
        <v>0</v>
      </c>
      <c r="T298" s="151">
        <f ca="1">+MIN('S&amp;U'!$H21-SUM('Phase I Pro Forma'!$E298:S298),'Phase I Pro Forma'!T$292-SUM(T$295:T297))</f>
        <v>0</v>
      </c>
      <c r="U298" s="151">
        <f ca="1">+MIN('S&amp;U'!$H21-SUM('Phase I Pro Forma'!$E298:T298),'Phase I Pro Forma'!U$292-SUM(U$295:U297))</f>
        <v>0</v>
      </c>
      <c r="V298" s="151">
        <f ca="1">+MIN('S&amp;U'!$H21-SUM('Phase I Pro Forma'!$E298:U298),'Phase I Pro Forma'!V$292-SUM(V$295:V297))</f>
        <v>0</v>
      </c>
      <c r="W298" s="151">
        <f ca="1">+MIN('S&amp;U'!$H21-SUM('Phase I Pro Forma'!$E298:V298),'Phase I Pro Forma'!W$292-SUM(W$295:W297))</f>
        <v>0</v>
      </c>
      <c r="X298" s="151">
        <f ca="1">+MIN('S&amp;U'!$H21-SUM('Phase I Pro Forma'!$E298:W298),'Phase I Pro Forma'!X$292-SUM(X$295:X297))</f>
        <v>0</v>
      </c>
      <c r="Y298" s="151">
        <f ca="1">+MIN('S&amp;U'!$H21-SUM('Phase I Pro Forma'!$E298:X298),'Phase I Pro Forma'!Y$292-SUM(Y$295:Y297))</f>
        <v>0</v>
      </c>
      <c r="Z298" s="151">
        <f ca="1">+MIN('S&amp;U'!$H21-SUM('Phase I Pro Forma'!$E298:Y298),'Phase I Pro Forma'!Z$292-SUM(Z$295:Z297))</f>
        <v>0</v>
      </c>
    </row>
    <row r="299" spans="1:26" x14ac:dyDescent="0.35">
      <c r="B299" s="33" t="s">
        <v>620</v>
      </c>
      <c r="D299" s="48">
        <f t="shared" ca="1" si="568"/>
        <v>3256330.7674772362</v>
      </c>
      <c r="E299" s="48"/>
      <c r="F299" s="151">
        <f ca="1">+MIN('S&amp;U'!$H22-SUM('Phase I Pro Forma'!$E299:E299),'Phase I Pro Forma'!F$292-SUM(F$295:F298))</f>
        <v>0</v>
      </c>
      <c r="G299" s="151">
        <f ca="1">+MIN('S&amp;U'!$H22-SUM('Phase I Pro Forma'!$E299:F299),'Phase I Pro Forma'!G$292-SUM(G$295:G298))</f>
        <v>3256330.7674772362</v>
      </c>
      <c r="H299" s="151">
        <f ca="1">+MIN('S&amp;U'!$H22-SUM('Phase I Pro Forma'!$E299:G299),'Phase I Pro Forma'!H$292-SUM(H$295:H298))</f>
        <v>0</v>
      </c>
      <c r="I299" s="151">
        <f ca="1">+MIN('S&amp;U'!$H22-SUM('Phase I Pro Forma'!$E299:H299),'Phase I Pro Forma'!I$292-SUM(I$295:I298))</f>
        <v>0</v>
      </c>
      <c r="J299" s="151">
        <f ca="1">+MIN('S&amp;U'!$H22-SUM('Phase I Pro Forma'!$E299:I299),'Phase I Pro Forma'!J$292-SUM(J$295:J298))</f>
        <v>0</v>
      </c>
      <c r="K299" s="151">
        <f ca="1">+MIN('S&amp;U'!$H22-SUM('Phase I Pro Forma'!$E299:J299),'Phase I Pro Forma'!K$292-SUM(K$295:K298))</f>
        <v>0</v>
      </c>
      <c r="L299" s="151">
        <f ca="1">+MIN('S&amp;U'!$H22-SUM('Phase I Pro Forma'!$E299:K299),'Phase I Pro Forma'!L$292-SUM(L$295:L298))</f>
        <v>0</v>
      </c>
      <c r="M299" s="151">
        <f ca="1">+MIN('S&amp;U'!$H22-SUM('Phase I Pro Forma'!$E299:L299),'Phase I Pro Forma'!M$292-SUM(M$295:M298))</f>
        <v>0</v>
      </c>
      <c r="N299" s="151">
        <f ca="1">+MIN('S&amp;U'!$H22-SUM('Phase I Pro Forma'!$E299:M299),'Phase I Pro Forma'!N$292-SUM(N$295:N298))</f>
        <v>0</v>
      </c>
      <c r="O299" s="151">
        <f ca="1">+MIN('S&amp;U'!$H22-SUM('Phase I Pro Forma'!$E299:N299),'Phase I Pro Forma'!O$292-SUM(O$295:O298))</f>
        <v>0</v>
      </c>
      <c r="P299" s="151">
        <f ca="1">+MIN('S&amp;U'!$H22-SUM('Phase I Pro Forma'!$E299:O299),'Phase I Pro Forma'!P$292-SUM(P$295:P298))</f>
        <v>0</v>
      </c>
      <c r="Q299" s="151">
        <f ca="1">+MIN('S&amp;U'!$H22-SUM('Phase I Pro Forma'!$E299:P299),'Phase I Pro Forma'!Q$292-SUM(Q$295:Q298))</f>
        <v>0</v>
      </c>
      <c r="R299" s="151">
        <f ca="1">+MIN('S&amp;U'!$H22-SUM('Phase I Pro Forma'!$E299:Q299),'Phase I Pro Forma'!R$292-SUM(R$295:R298))</f>
        <v>0</v>
      </c>
      <c r="S299" s="151">
        <f ca="1">+MIN('S&amp;U'!$H22-SUM('Phase I Pro Forma'!$E299:R299),'Phase I Pro Forma'!S$292-SUM(S$295:S298))</f>
        <v>0</v>
      </c>
      <c r="T299" s="151">
        <f ca="1">+MIN('S&amp;U'!$H22-SUM('Phase I Pro Forma'!$E299:S299),'Phase I Pro Forma'!T$292-SUM(T$295:T298))</f>
        <v>0</v>
      </c>
      <c r="U299" s="151">
        <f ca="1">+MIN('S&amp;U'!$H22-SUM('Phase I Pro Forma'!$E299:T299),'Phase I Pro Forma'!U$292-SUM(U$295:U298))</f>
        <v>0</v>
      </c>
      <c r="V299" s="151">
        <f ca="1">+MIN('S&amp;U'!$H22-SUM('Phase I Pro Forma'!$E299:U299),'Phase I Pro Forma'!V$292-SUM(V$295:V298))</f>
        <v>0</v>
      </c>
      <c r="W299" s="151">
        <f ca="1">+MIN('S&amp;U'!$H22-SUM('Phase I Pro Forma'!$E299:V299),'Phase I Pro Forma'!W$292-SUM(W$295:W298))</f>
        <v>0</v>
      </c>
      <c r="X299" s="151">
        <f ca="1">+MIN('S&amp;U'!$H22-SUM('Phase I Pro Forma'!$E299:W299),'Phase I Pro Forma'!X$292-SUM(X$295:X298))</f>
        <v>0</v>
      </c>
      <c r="Y299" s="151">
        <f ca="1">+MIN('S&amp;U'!$H22-SUM('Phase I Pro Forma'!$E299:X299),'Phase I Pro Forma'!Y$292-SUM(Y$295:Y298))</f>
        <v>0</v>
      </c>
      <c r="Z299" s="151">
        <f ca="1">+MIN('S&amp;U'!$H22-SUM('Phase I Pro Forma'!$E299:Y299),'Phase I Pro Forma'!Z$292-SUM(Z$295:Z298))</f>
        <v>0</v>
      </c>
    </row>
    <row r="300" spans="1:26" x14ac:dyDescent="0.35">
      <c r="A300" s="108"/>
      <c r="B300" s="33" t="s">
        <v>336</v>
      </c>
      <c r="D300" s="48">
        <f t="shared" ca="1" si="568"/>
        <v>239786815.25509921</v>
      </c>
      <c r="E300" s="48"/>
      <c r="F300" s="151">
        <f ca="1">+MIN('S&amp;U'!$H17-SUM('Phase I Pro Forma'!$E300:E300),'Phase I Pro Forma'!F$292-SUM(F$295:F299))</f>
        <v>0</v>
      </c>
      <c r="G300" s="151">
        <f ca="1">+MIN('S&amp;U'!$H17-SUM('Phase I Pro Forma'!$E300:F300),'Phase I Pro Forma'!G$292-SUM(G$295:G299))</f>
        <v>137042341.99690846</v>
      </c>
      <c r="H300" s="151">
        <f ca="1">+MIN('S&amp;U'!$H17-SUM('Phase I Pro Forma'!$E300:G300),'Phase I Pro Forma'!H$292-SUM(H$295:H299))</f>
        <v>102744473.25819075</v>
      </c>
      <c r="I300" s="151">
        <f ca="1">+MIN('S&amp;U'!$H17-SUM('Phase I Pro Forma'!$E300:H300),'Phase I Pro Forma'!I$292-SUM(I$295:I299))</f>
        <v>0</v>
      </c>
      <c r="J300" s="151">
        <f ca="1">+MIN('S&amp;U'!$H17-SUM('Phase I Pro Forma'!$E300:I300),'Phase I Pro Forma'!J$292-SUM(J$295:J299))</f>
        <v>0</v>
      </c>
      <c r="K300" s="151">
        <f ca="1">+MIN('S&amp;U'!$H17-SUM('Phase I Pro Forma'!$E300:J300),'Phase I Pro Forma'!K$292-SUM(K$295:K299))</f>
        <v>0</v>
      </c>
      <c r="L300" s="151">
        <f ca="1">+MIN('S&amp;U'!$H17-SUM('Phase I Pro Forma'!$E300:K300),'Phase I Pro Forma'!L$292-SUM(L$295:L299))</f>
        <v>0</v>
      </c>
      <c r="M300" s="151">
        <f ca="1">+MIN('S&amp;U'!$H17-SUM('Phase I Pro Forma'!$E300:L300),'Phase I Pro Forma'!M$292-SUM(M$295:M299))</f>
        <v>0</v>
      </c>
      <c r="N300" s="151">
        <f ca="1">+MIN('S&amp;U'!$H17-SUM('Phase I Pro Forma'!$E300:M300),'Phase I Pro Forma'!N$292-SUM(N$295:N299))</f>
        <v>0</v>
      </c>
      <c r="O300" s="151">
        <f ca="1">+MIN('S&amp;U'!$H17-SUM('Phase I Pro Forma'!$E300:N300),'Phase I Pro Forma'!O$292-SUM(O$295:O299))</f>
        <v>0</v>
      </c>
      <c r="P300" s="151">
        <f ca="1">+MIN('S&amp;U'!$H17-SUM('Phase I Pro Forma'!$E300:O300),'Phase I Pro Forma'!P$292-SUM(P$295:P299))</f>
        <v>0</v>
      </c>
      <c r="Q300" s="151">
        <f ca="1">+MIN('S&amp;U'!$H17-SUM('Phase I Pro Forma'!$E300:P300),'Phase I Pro Forma'!Q$292-SUM(Q$295:Q299))</f>
        <v>0</v>
      </c>
      <c r="R300" s="151">
        <f ca="1">+MIN('S&amp;U'!$H17-SUM('Phase I Pro Forma'!$E300:Q300),'Phase I Pro Forma'!R$292-SUM(R$295:R299))</f>
        <v>0</v>
      </c>
      <c r="S300" s="151">
        <f ca="1">+MIN('S&amp;U'!$H17-SUM('Phase I Pro Forma'!$E300:R300),'Phase I Pro Forma'!S$292-SUM(S$295:S299))</f>
        <v>0</v>
      </c>
      <c r="T300" s="151">
        <f ca="1">+MIN('S&amp;U'!$H17-SUM('Phase I Pro Forma'!$E300:S300),'Phase I Pro Forma'!T$292-SUM(T$295:T299))</f>
        <v>0</v>
      </c>
      <c r="U300" s="151">
        <f ca="1">+MIN('S&amp;U'!$H17-SUM('Phase I Pro Forma'!$E300:T300),'Phase I Pro Forma'!U$292-SUM(U$295:U299))</f>
        <v>0</v>
      </c>
      <c r="V300" s="151">
        <f ca="1">+MIN('S&amp;U'!$H17-SUM('Phase I Pro Forma'!$E300:U300),'Phase I Pro Forma'!V$292-SUM(V$295:V299))</f>
        <v>0</v>
      </c>
      <c r="W300" s="151">
        <f ca="1">+MIN('S&amp;U'!$H17-SUM('Phase I Pro Forma'!$E300:V300),'Phase I Pro Forma'!W$292-SUM(W$295:W299))</f>
        <v>0</v>
      </c>
      <c r="X300" s="151">
        <f ca="1">+MIN('S&amp;U'!$H17-SUM('Phase I Pro Forma'!$E300:W300),'Phase I Pro Forma'!X$292-SUM(X$295:X299))</f>
        <v>0</v>
      </c>
      <c r="Y300" s="151">
        <f ca="1">+MIN('S&amp;U'!$H17-SUM('Phase I Pro Forma'!$E300:X300),'Phase I Pro Forma'!Y$292-SUM(Y$295:Y299))</f>
        <v>0</v>
      </c>
      <c r="Z300" s="151">
        <f ca="1">+MIN('S&amp;U'!$H17-SUM('Phase I Pro Forma'!$E300:Y300),'Phase I Pro Forma'!Z$292-SUM(Z$295:Z299))</f>
        <v>0</v>
      </c>
    </row>
    <row r="301" spans="1:26" x14ac:dyDescent="0.35">
      <c r="A301" s="108"/>
      <c r="B301" s="33" t="s">
        <v>98</v>
      </c>
      <c r="D301" s="48">
        <f t="shared" ca="1" si="568"/>
        <v>74189767.741794825</v>
      </c>
      <c r="E301" s="48"/>
      <c r="F301" s="151">
        <f ca="1">+MIN('S&amp;U'!$H18-SUM('Phase I Pro Forma'!$E301:E301),'Phase I Pro Forma'!F$292-SUM(F$295:F300))</f>
        <v>0</v>
      </c>
      <c r="G301" s="151">
        <f ca="1">+MIN('S&amp;U'!$H18-SUM('Phase I Pro Forma'!$E301:F301),'Phase I Pro Forma'!G$292-SUM(G$295:G300))</f>
        <v>0</v>
      </c>
      <c r="H301" s="151">
        <f ca="1">+MIN('S&amp;U'!$H18-SUM('Phase I Pro Forma'!$E301:G301),'Phase I Pro Forma'!H$292-SUM(H$295:H300))</f>
        <v>68470187.046282738</v>
      </c>
      <c r="I301" s="151">
        <f ca="1">+MIN('S&amp;U'!$H18-SUM('Phase I Pro Forma'!$E301:H301),'Phase I Pro Forma'!I$292-SUM(I$295:I300))</f>
        <v>2859790.3477560584</v>
      </c>
      <c r="J301" s="151">
        <f ca="1">+MIN('S&amp;U'!$H18-SUM('Phase I Pro Forma'!$E301:I301),'Phase I Pro Forma'!J$292-SUM(J$295:J300))</f>
        <v>2859790.3477560282</v>
      </c>
      <c r="K301" s="151">
        <f ca="1">+MIN('S&amp;U'!$H18-SUM('Phase I Pro Forma'!$E301:J301),'Phase I Pro Forma'!K$292-SUM(K$295:K300))</f>
        <v>0</v>
      </c>
      <c r="L301" s="151">
        <f ca="1">+MIN('S&amp;U'!$H18-SUM('Phase I Pro Forma'!$E301:K301),'Phase I Pro Forma'!L$292-SUM(L$295:L300))</f>
        <v>0</v>
      </c>
      <c r="M301" s="151">
        <f ca="1">+MIN('S&amp;U'!$H18-SUM('Phase I Pro Forma'!$E301:L301),'Phase I Pro Forma'!M$292-SUM(M$295:M300))</f>
        <v>0</v>
      </c>
      <c r="N301" s="151">
        <f ca="1">+MIN('S&amp;U'!$H18-SUM('Phase I Pro Forma'!$E301:M301),'Phase I Pro Forma'!N$292-SUM(N$295:N300))</f>
        <v>0</v>
      </c>
      <c r="O301" s="151">
        <f ca="1">+MIN('S&amp;U'!$H18-SUM('Phase I Pro Forma'!$E301:N301),'Phase I Pro Forma'!O$292-SUM(O$295:O300))</f>
        <v>0</v>
      </c>
      <c r="P301" s="151">
        <f ca="1">+MIN('S&amp;U'!$H18-SUM('Phase I Pro Forma'!$E301:O301),'Phase I Pro Forma'!P$292-SUM(P$295:P300))</f>
        <v>0</v>
      </c>
      <c r="Q301" s="151">
        <f ca="1">+MIN('S&amp;U'!$H18-SUM('Phase I Pro Forma'!$E301:P301),'Phase I Pro Forma'!Q$292-SUM(Q$295:Q300))</f>
        <v>0</v>
      </c>
      <c r="R301" s="151">
        <f ca="1">+MIN('S&amp;U'!$H18-SUM('Phase I Pro Forma'!$E301:Q301),'Phase I Pro Forma'!R$292-SUM(R$295:R300))</f>
        <v>0</v>
      </c>
      <c r="S301" s="151">
        <f ca="1">+MIN('S&amp;U'!$H18-SUM('Phase I Pro Forma'!$E301:R301),'Phase I Pro Forma'!S$292-SUM(S$295:S300))</f>
        <v>0</v>
      </c>
      <c r="T301" s="151">
        <f ca="1">+MIN('S&amp;U'!$H18-SUM('Phase I Pro Forma'!$E301:S301),'Phase I Pro Forma'!T$292-SUM(T$295:T300))</f>
        <v>0</v>
      </c>
      <c r="U301" s="151">
        <f ca="1">+MIN('S&amp;U'!$H18-SUM('Phase I Pro Forma'!$E301:T301),'Phase I Pro Forma'!U$292-SUM(U$295:U300))</f>
        <v>0</v>
      </c>
      <c r="V301" s="151">
        <f ca="1">+MIN('S&amp;U'!$H18-SUM('Phase I Pro Forma'!$E301:U301),'Phase I Pro Forma'!V$292-SUM(V$295:V300))</f>
        <v>0</v>
      </c>
      <c r="W301" s="151">
        <f ca="1">+MIN('S&amp;U'!$H18-SUM('Phase I Pro Forma'!$E301:V301),'Phase I Pro Forma'!W$292-SUM(W$295:W300))</f>
        <v>0</v>
      </c>
      <c r="X301" s="151">
        <f ca="1">+MIN('S&amp;U'!$H18-SUM('Phase I Pro Forma'!$E301:W301),'Phase I Pro Forma'!X$292-SUM(X$295:X300))</f>
        <v>0</v>
      </c>
      <c r="Y301" s="151">
        <f ca="1">+MIN('S&amp;U'!$H18-SUM('Phase I Pro Forma'!$E301:X301),'Phase I Pro Forma'!Y$292-SUM(Y$295:Y300))</f>
        <v>0</v>
      </c>
      <c r="Z301" s="151">
        <f ca="1">+MIN('S&amp;U'!$H18-SUM('Phase I Pro Forma'!$E301:Y301),'Phase I Pro Forma'!Z$292-SUM(Z$295:Z300))</f>
        <v>0</v>
      </c>
    </row>
    <row r="302" spans="1:26" x14ac:dyDescent="0.35">
      <c r="B302" s="138" t="s">
        <v>383</v>
      </c>
      <c r="C302" s="138"/>
      <c r="D302" s="139">
        <f t="shared" ca="1" si="568"/>
        <v>399644692.0918321</v>
      </c>
      <c r="E302" s="139"/>
      <c r="F302" s="139">
        <f t="shared" ref="F302:Z302" ca="1" si="569">+SUM(F295:F301)</f>
        <v>51495790.787373006</v>
      </c>
      <c r="G302" s="139">
        <f t="shared" ca="1" si="569"/>
        <v>171214660.30447349</v>
      </c>
      <c r="H302" s="139">
        <f t="shared" ca="1" si="569"/>
        <v>171214660.30447349</v>
      </c>
      <c r="I302" s="139">
        <f t="shared" ca="1" si="569"/>
        <v>2859790.3477560584</v>
      </c>
      <c r="J302" s="139">
        <f t="shared" ca="1" si="569"/>
        <v>2859790.3477560282</v>
      </c>
      <c r="K302" s="139">
        <f t="shared" ca="1" si="569"/>
        <v>0</v>
      </c>
      <c r="L302" s="139">
        <f t="shared" ca="1" si="569"/>
        <v>0</v>
      </c>
      <c r="M302" s="139">
        <f t="shared" ca="1" si="569"/>
        <v>0</v>
      </c>
      <c r="N302" s="139">
        <f t="shared" ca="1" si="569"/>
        <v>0</v>
      </c>
      <c r="O302" s="139">
        <f t="shared" ca="1" si="569"/>
        <v>0</v>
      </c>
      <c r="P302" s="139">
        <f t="shared" ca="1" si="569"/>
        <v>0</v>
      </c>
      <c r="Q302" s="139">
        <f t="shared" ca="1" si="569"/>
        <v>0</v>
      </c>
      <c r="R302" s="139">
        <f t="shared" ca="1" si="569"/>
        <v>0</v>
      </c>
      <c r="S302" s="139">
        <f t="shared" ca="1" si="569"/>
        <v>0</v>
      </c>
      <c r="T302" s="139">
        <f t="shared" ca="1" si="569"/>
        <v>0</v>
      </c>
      <c r="U302" s="139">
        <f t="shared" ca="1" si="569"/>
        <v>0</v>
      </c>
      <c r="V302" s="139">
        <f t="shared" ca="1" si="569"/>
        <v>0</v>
      </c>
      <c r="W302" s="139">
        <f t="shared" ca="1" si="569"/>
        <v>0</v>
      </c>
      <c r="X302" s="139">
        <f t="shared" ca="1" si="569"/>
        <v>0</v>
      </c>
      <c r="Y302" s="139">
        <f t="shared" ca="1" si="569"/>
        <v>0</v>
      </c>
      <c r="Z302" s="139">
        <f t="shared" ca="1" si="569"/>
        <v>0</v>
      </c>
    </row>
    <row r="304" spans="1:26" x14ac:dyDescent="0.35">
      <c r="B304" s="33" t="s">
        <v>443</v>
      </c>
      <c r="D304" s="48">
        <f t="shared" ca="1" si="568"/>
        <v>95698864.899236143</v>
      </c>
      <c r="F304" s="42">
        <f ca="1">+SUM(F296:F299,F301)</f>
        <v>0</v>
      </c>
      <c r="G304" s="42">
        <f t="shared" ref="G304:Z304" ca="1" si="570">+SUM(G296:G299,G301)</f>
        <v>21509097.157441318</v>
      </c>
      <c r="H304" s="42">
        <f t="shared" ca="1" si="570"/>
        <v>68470187.046282738</v>
      </c>
      <c r="I304" s="42">
        <f t="shared" ca="1" si="570"/>
        <v>2859790.3477560584</v>
      </c>
      <c r="J304" s="42">
        <f t="shared" ca="1" si="570"/>
        <v>2859790.3477560282</v>
      </c>
      <c r="K304" s="42">
        <f t="shared" ca="1" si="570"/>
        <v>0</v>
      </c>
      <c r="L304" s="42">
        <f t="shared" ca="1" si="570"/>
        <v>0</v>
      </c>
      <c r="M304" s="42">
        <f t="shared" ca="1" si="570"/>
        <v>0</v>
      </c>
      <c r="N304" s="42">
        <f t="shared" ca="1" si="570"/>
        <v>0</v>
      </c>
      <c r="O304" s="42">
        <f t="shared" ca="1" si="570"/>
        <v>0</v>
      </c>
      <c r="P304" s="42">
        <f t="shared" ca="1" si="570"/>
        <v>0</v>
      </c>
      <c r="Q304" s="42">
        <f t="shared" ca="1" si="570"/>
        <v>0</v>
      </c>
      <c r="R304" s="42">
        <f t="shared" ca="1" si="570"/>
        <v>0</v>
      </c>
      <c r="S304" s="42">
        <f t="shared" ca="1" si="570"/>
        <v>0</v>
      </c>
      <c r="T304" s="42">
        <f t="shared" ca="1" si="570"/>
        <v>0</v>
      </c>
      <c r="U304" s="42">
        <f t="shared" ca="1" si="570"/>
        <v>0</v>
      </c>
      <c r="V304" s="42">
        <f t="shared" ca="1" si="570"/>
        <v>0</v>
      </c>
      <c r="W304" s="42">
        <f t="shared" ca="1" si="570"/>
        <v>0</v>
      </c>
      <c r="X304" s="42">
        <f t="shared" ca="1" si="570"/>
        <v>0</v>
      </c>
      <c r="Y304" s="42">
        <f t="shared" ca="1" si="570"/>
        <v>0</v>
      </c>
      <c r="Z304" s="42">
        <f t="shared" ca="1" si="570"/>
        <v>0</v>
      </c>
    </row>
    <row r="306" spans="2:26" x14ac:dyDescent="0.35">
      <c r="B306" s="148" t="s">
        <v>354</v>
      </c>
    </row>
    <row r="307" spans="2:26" x14ac:dyDescent="0.35">
      <c r="B307" s="33" t="s">
        <v>355</v>
      </c>
      <c r="D307" s="48">
        <f ca="1">+SUM(F307:Z307)</f>
        <v>-64159011.937496722</v>
      </c>
      <c r="E307" s="48"/>
      <c r="F307" s="34">
        <f t="shared" ref="F307:Z307" ca="1" si="571">-F295</f>
        <v>-51495790.787373006</v>
      </c>
      <c r="G307" s="34">
        <f t="shared" ca="1" si="571"/>
        <v>-12663221.150123715</v>
      </c>
      <c r="H307" s="34">
        <f t="shared" ca="1" si="571"/>
        <v>0</v>
      </c>
      <c r="I307" s="34">
        <f t="shared" ca="1" si="571"/>
        <v>0</v>
      </c>
      <c r="J307" s="34">
        <f t="shared" ca="1" si="571"/>
        <v>0</v>
      </c>
      <c r="K307" s="34">
        <f t="shared" ca="1" si="571"/>
        <v>0</v>
      </c>
      <c r="L307" s="34">
        <f t="shared" ca="1" si="571"/>
        <v>0</v>
      </c>
      <c r="M307" s="34">
        <f t="shared" ca="1" si="571"/>
        <v>0</v>
      </c>
      <c r="N307" s="34">
        <f t="shared" ca="1" si="571"/>
        <v>0</v>
      </c>
      <c r="O307" s="34">
        <f t="shared" ca="1" si="571"/>
        <v>0</v>
      </c>
      <c r="P307" s="34">
        <f t="shared" ca="1" si="571"/>
        <v>0</v>
      </c>
      <c r="Q307" s="34">
        <f t="shared" ca="1" si="571"/>
        <v>0</v>
      </c>
      <c r="R307" s="34">
        <f t="shared" ca="1" si="571"/>
        <v>0</v>
      </c>
      <c r="S307" s="34">
        <f t="shared" ca="1" si="571"/>
        <v>0</v>
      </c>
      <c r="T307" s="34">
        <f t="shared" ca="1" si="571"/>
        <v>0</v>
      </c>
      <c r="U307" s="34">
        <f t="shared" ca="1" si="571"/>
        <v>0</v>
      </c>
      <c r="V307" s="34">
        <f t="shared" ca="1" si="571"/>
        <v>0</v>
      </c>
      <c r="W307" s="34">
        <f t="shared" ca="1" si="571"/>
        <v>0</v>
      </c>
      <c r="X307" s="34">
        <f t="shared" ca="1" si="571"/>
        <v>0</v>
      </c>
      <c r="Y307" s="34">
        <f t="shared" ca="1" si="571"/>
        <v>0</v>
      </c>
      <c r="Z307" s="34">
        <f t="shared" ca="1" si="571"/>
        <v>0</v>
      </c>
    </row>
    <row r="308" spans="2:26" x14ac:dyDescent="0.35">
      <c r="B308" s="33" t="s">
        <v>356</v>
      </c>
      <c r="D308" s="48">
        <f t="shared" ref="D308" ca="1" si="572">+SUM(F308:Z308)</f>
        <v>286205932.5105536</v>
      </c>
      <c r="E308" s="48"/>
      <c r="F308" s="151">
        <f ca="1">+F277</f>
        <v>0</v>
      </c>
      <c r="G308" s="151">
        <f t="shared" ref="G308:Z308" ca="1" si="573">+G277</f>
        <v>0</v>
      </c>
      <c r="H308" s="151">
        <f t="shared" ca="1" si="573"/>
        <v>0</v>
      </c>
      <c r="I308" s="151">
        <f t="shared" ca="1" si="573"/>
        <v>24901299.124564815</v>
      </c>
      <c r="J308" s="151">
        <f t="shared" ca="1" si="573"/>
        <v>5278132.2857078519</v>
      </c>
      <c r="K308" s="151">
        <f t="shared" ca="1" si="573"/>
        <v>5896598.6043395866</v>
      </c>
      <c r="L308" s="151">
        <f t="shared" ca="1" si="573"/>
        <v>7678126.75579214</v>
      </c>
      <c r="M308" s="151">
        <f t="shared" ca="1" si="573"/>
        <v>8004752.9827835169</v>
      </c>
      <c r="N308" s="151">
        <f t="shared" ca="1" si="573"/>
        <v>8449315.2071530111</v>
      </c>
      <c r="O308" s="151">
        <f t="shared" ca="1" si="573"/>
        <v>8905274.030542098</v>
      </c>
      <c r="P308" s="151">
        <f t="shared" ca="1" si="573"/>
        <v>217092433.51967055</v>
      </c>
      <c r="Q308" s="151">
        <f t="shared" si="573"/>
        <v>0</v>
      </c>
      <c r="R308" s="151">
        <f t="shared" si="573"/>
        <v>0</v>
      </c>
      <c r="S308" s="151">
        <f t="shared" si="573"/>
        <v>0</v>
      </c>
      <c r="T308" s="151">
        <f t="shared" si="573"/>
        <v>0</v>
      </c>
      <c r="U308" s="151">
        <f t="shared" si="573"/>
        <v>0</v>
      </c>
      <c r="V308" s="151">
        <f t="shared" si="573"/>
        <v>0</v>
      </c>
      <c r="W308" s="151">
        <f t="shared" si="573"/>
        <v>0</v>
      </c>
      <c r="X308" s="151">
        <f t="shared" si="573"/>
        <v>0</v>
      </c>
      <c r="Y308" s="151">
        <f t="shared" si="573"/>
        <v>0</v>
      </c>
      <c r="Z308" s="151">
        <f t="shared" si="573"/>
        <v>0</v>
      </c>
    </row>
    <row r="309" spans="2:26" x14ac:dyDescent="0.35">
      <c r="B309" s="138" t="s">
        <v>357</v>
      </c>
      <c r="C309" s="138"/>
      <c r="D309" s="139">
        <f ca="1">+SUM(F309:Z309)</f>
        <v>222046920.57305685</v>
      </c>
      <c r="E309" s="139"/>
      <c r="F309" s="139">
        <f ca="1">+SUM(F307:F308)</f>
        <v>-51495790.787373006</v>
      </c>
      <c r="G309" s="139">
        <f t="shared" ref="G309:Z309" ca="1" si="574">+SUM(G307:G308)</f>
        <v>-12663221.150123715</v>
      </c>
      <c r="H309" s="139">
        <f t="shared" ca="1" si="574"/>
        <v>0</v>
      </c>
      <c r="I309" s="139">
        <f t="shared" ca="1" si="574"/>
        <v>24901299.124564815</v>
      </c>
      <c r="J309" s="139">
        <f t="shared" ca="1" si="574"/>
        <v>5278132.2857078519</v>
      </c>
      <c r="K309" s="139">
        <f t="shared" ca="1" si="574"/>
        <v>5896598.6043395866</v>
      </c>
      <c r="L309" s="139">
        <f t="shared" ca="1" si="574"/>
        <v>7678126.75579214</v>
      </c>
      <c r="M309" s="139">
        <f t="shared" ca="1" si="574"/>
        <v>8004752.9827835169</v>
      </c>
      <c r="N309" s="139">
        <f t="shared" ca="1" si="574"/>
        <v>8449315.2071530111</v>
      </c>
      <c r="O309" s="139">
        <f t="shared" ca="1" si="574"/>
        <v>8905274.030542098</v>
      </c>
      <c r="P309" s="139">
        <f t="shared" ca="1" si="574"/>
        <v>217092433.51967055</v>
      </c>
      <c r="Q309" s="139">
        <f t="shared" ca="1" si="574"/>
        <v>0</v>
      </c>
      <c r="R309" s="139">
        <f t="shared" ca="1" si="574"/>
        <v>0</v>
      </c>
      <c r="S309" s="139">
        <f t="shared" ca="1" si="574"/>
        <v>0</v>
      </c>
      <c r="T309" s="139">
        <f t="shared" ca="1" si="574"/>
        <v>0</v>
      </c>
      <c r="U309" s="139">
        <f t="shared" ca="1" si="574"/>
        <v>0</v>
      </c>
      <c r="V309" s="139">
        <f t="shared" ca="1" si="574"/>
        <v>0</v>
      </c>
      <c r="W309" s="139">
        <f t="shared" ca="1" si="574"/>
        <v>0</v>
      </c>
      <c r="X309" s="139">
        <f t="shared" ca="1" si="574"/>
        <v>0</v>
      </c>
      <c r="Y309" s="139">
        <f t="shared" ca="1" si="574"/>
        <v>0</v>
      </c>
      <c r="Z309" s="139">
        <f t="shared" ca="1" si="574"/>
        <v>0</v>
      </c>
    </row>
    <row r="311" spans="2:26" x14ac:dyDescent="0.35">
      <c r="B311" s="190" t="s">
        <v>361</v>
      </c>
      <c r="C311" s="190"/>
      <c r="D311" s="191">
        <f ca="1">+IRR(F309:Z309)</f>
        <v>0.20216207550226173</v>
      </c>
      <c r="I311" s="42"/>
    </row>
    <row r="312" spans="2:26" x14ac:dyDescent="0.35">
      <c r="B312" s="141" t="s">
        <v>359</v>
      </c>
      <c r="C312" s="192"/>
      <c r="D312" s="142">
        <f ca="1">+SUM(F309:Z309)</f>
        <v>222046920.57305685</v>
      </c>
    </row>
    <row r="313" spans="2:26" x14ac:dyDescent="0.35">
      <c r="B313" s="194" t="s">
        <v>360</v>
      </c>
      <c r="C313" s="193"/>
      <c r="D313" s="195">
        <f ca="1">+D308/-D307</f>
        <v>4.4608843538515446</v>
      </c>
    </row>
    <row r="315" spans="2:26" x14ac:dyDescent="0.35">
      <c r="B315" s="37" t="s">
        <v>397</v>
      </c>
      <c r="C315" s="38"/>
      <c r="D315" s="38"/>
      <c r="E315" s="38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</row>
    <row r="317" spans="2:26" x14ac:dyDescent="0.35">
      <c r="B317" s="148" t="s">
        <v>251</v>
      </c>
      <c r="F317" s="150">
        <f>+F$294</f>
        <v>44196</v>
      </c>
      <c r="G317" s="150">
        <f t="shared" ref="G317:Z317" si="575">+G$294</f>
        <v>44561</v>
      </c>
      <c r="H317" s="150">
        <f t="shared" si="575"/>
        <v>44926</v>
      </c>
      <c r="I317" s="150">
        <f t="shared" si="575"/>
        <v>45291</v>
      </c>
      <c r="J317" s="150">
        <f t="shared" si="575"/>
        <v>45657</v>
      </c>
      <c r="K317" s="150">
        <f t="shared" si="575"/>
        <v>46022</v>
      </c>
      <c r="L317" s="150">
        <f t="shared" si="575"/>
        <v>46387</v>
      </c>
      <c r="M317" s="150">
        <f t="shared" si="575"/>
        <v>46752</v>
      </c>
      <c r="N317" s="150">
        <f t="shared" si="575"/>
        <v>47118</v>
      </c>
      <c r="O317" s="150">
        <f t="shared" si="575"/>
        <v>47483</v>
      </c>
      <c r="P317" s="150">
        <f t="shared" si="575"/>
        <v>47848</v>
      </c>
      <c r="Q317" s="150">
        <f t="shared" si="575"/>
        <v>48213</v>
      </c>
      <c r="R317" s="150">
        <f t="shared" si="575"/>
        <v>48579</v>
      </c>
      <c r="S317" s="150">
        <f t="shared" si="575"/>
        <v>48944</v>
      </c>
      <c r="T317" s="150">
        <f t="shared" si="575"/>
        <v>49309</v>
      </c>
      <c r="U317" s="150">
        <f t="shared" si="575"/>
        <v>49674</v>
      </c>
      <c r="V317" s="150">
        <f t="shared" si="575"/>
        <v>50040</v>
      </c>
      <c r="W317" s="150">
        <f t="shared" si="575"/>
        <v>50405</v>
      </c>
      <c r="X317" s="150">
        <f t="shared" si="575"/>
        <v>50770</v>
      </c>
      <c r="Y317" s="150">
        <f t="shared" si="575"/>
        <v>51135</v>
      </c>
      <c r="Z317" s="150">
        <f t="shared" si="575"/>
        <v>51501</v>
      </c>
    </row>
    <row r="318" spans="2:26" x14ac:dyDescent="0.35">
      <c r="B318" s="33" t="s">
        <v>777</v>
      </c>
      <c r="C318"/>
      <c r="D318"/>
      <c r="E318"/>
      <c r="F318" s="34">
        <f ca="1">+F$138</f>
        <v>0</v>
      </c>
      <c r="G318" s="34">
        <f t="shared" ref="G318:Z318" ca="1" si="576">+G$138</f>
        <v>0</v>
      </c>
      <c r="H318" s="34">
        <f t="shared" ca="1" si="576"/>
        <v>0</v>
      </c>
      <c r="I318" s="34">
        <f t="shared" ca="1" si="576"/>
        <v>9978980.3531097397</v>
      </c>
      <c r="J318" s="34">
        <f t="shared" ca="1" si="576"/>
        <v>20150048.491622239</v>
      </c>
      <c r="K318" s="34">
        <f t="shared" ca="1" si="576"/>
        <v>20415119.392887935</v>
      </c>
      <c r="L318" s="34">
        <f t="shared" ca="1" si="576"/>
        <v>22046666.44948281</v>
      </c>
      <c r="M318" s="34">
        <f t="shared" ca="1" si="576"/>
        <v>22260230.976380009</v>
      </c>
      <c r="N318" s="34">
        <f t="shared" ca="1" si="576"/>
        <v>22548752.86966075</v>
      </c>
      <c r="O318" s="34">
        <f t="shared" ca="1" si="576"/>
        <v>22845550.555339307</v>
      </c>
      <c r="P318" s="34">
        <f t="shared" ca="1" si="576"/>
        <v>23082611.017095</v>
      </c>
      <c r="Q318" s="34">
        <f t="shared" ca="1" si="576"/>
        <v>24891005.347919736</v>
      </c>
      <c r="R318" s="34">
        <f t="shared" ca="1" si="576"/>
        <v>25214102.952101879</v>
      </c>
      <c r="S318" s="34">
        <f t="shared" ca="1" si="576"/>
        <v>25476863.54030513</v>
      </c>
      <c r="T318" s="34">
        <f t="shared" ca="1" si="576"/>
        <v>25818794.874822486</v>
      </c>
      <c r="U318" s="34">
        <f t="shared" ca="1" si="576"/>
        <v>26170556.360362995</v>
      </c>
      <c r="V318" s="34">
        <f t="shared" ca="1" si="576"/>
        <v>28104693.832800679</v>
      </c>
      <c r="W318" s="34">
        <f t="shared" ca="1" si="576"/>
        <v>28476983.085985728</v>
      </c>
      <c r="X318" s="34">
        <f t="shared" ca="1" si="576"/>
        <v>28859987.0436441</v>
      </c>
      <c r="Y318" s="34">
        <f t="shared" ca="1" si="576"/>
        <v>29181586.70261373</v>
      </c>
      <c r="Z318" s="34">
        <f t="shared" ca="1" si="576"/>
        <v>29586966.343494888</v>
      </c>
    </row>
    <row r="319" spans="2:26" x14ac:dyDescent="0.35">
      <c r="B319" s="33" t="s">
        <v>778</v>
      </c>
      <c r="C319"/>
      <c r="D319"/>
      <c r="E319"/>
      <c r="F319" s="151">
        <f ca="1">+F$206</f>
        <v>0</v>
      </c>
      <c r="G319" s="151">
        <f t="shared" ref="G319:Z319" ca="1" si="577">+G$206</f>
        <v>0</v>
      </c>
      <c r="H319" s="151">
        <f t="shared" ca="1" si="577"/>
        <v>0</v>
      </c>
      <c r="I319" s="151">
        <f t="shared" ca="1" si="577"/>
        <v>2177551.5664158845</v>
      </c>
      <c r="J319" s="151">
        <f t="shared" ca="1" si="577"/>
        <v>5149708.49248611</v>
      </c>
      <c r="K319" s="151">
        <f t="shared" ca="1" si="577"/>
        <v>5503103.9098521462</v>
      </c>
      <c r="L319" s="151">
        <f t="shared" ca="1" si="577"/>
        <v>5653085.0047086952</v>
      </c>
      <c r="M319" s="151">
        <f t="shared" ca="1" si="577"/>
        <v>5766146.7048028726</v>
      </c>
      <c r="N319" s="151">
        <f t="shared" ca="1" si="577"/>
        <v>5922187.035891627</v>
      </c>
      <c r="O319" s="151">
        <f t="shared" ca="1" si="577"/>
        <v>6081348.1736021563</v>
      </c>
      <c r="P319" s="151">
        <f t="shared" ca="1" si="577"/>
        <v>6202975.1370741986</v>
      </c>
      <c r="Q319" s="151">
        <f t="shared" ca="1" si="577"/>
        <v>6368566.3847482363</v>
      </c>
      <c r="R319" s="151">
        <f t="shared" ca="1" si="577"/>
        <v>6537469.4573757444</v>
      </c>
      <c r="S319" s="151">
        <f t="shared" ca="1" si="577"/>
        <v>6668218.8465232626</v>
      </c>
      <c r="T319" s="151">
        <f t="shared" ca="1" si="577"/>
        <v>6843945.6032849317</v>
      </c>
      <c r="U319" s="151">
        <f t="shared" ca="1" si="577"/>
        <v>7023186.895181831</v>
      </c>
      <c r="V319" s="151">
        <f t="shared" ca="1" si="577"/>
        <v>7163650.6330854669</v>
      </c>
      <c r="W319" s="151">
        <f t="shared" ca="1" si="577"/>
        <v>7350133.2731749993</v>
      </c>
      <c r="X319" s="151">
        <f t="shared" ca="1" si="577"/>
        <v>7540345.5660663312</v>
      </c>
      <c r="Y319" s="151">
        <f t="shared" ca="1" si="577"/>
        <v>7691152.4773876574</v>
      </c>
      <c r="Z319" s="151">
        <f t="shared" ca="1" si="577"/>
        <v>7889049.3469117936</v>
      </c>
    </row>
    <row r="320" spans="2:26" x14ac:dyDescent="0.35">
      <c r="B320" s="33" t="s">
        <v>779</v>
      </c>
      <c r="C320"/>
      <c r="D320"/>
      <c r="E320"/>
      <c r="F320" s="151">
        <f ca="1">+F$251</f>
        <v>0</v>
      </c>
      <c r="G320" s="151">
        <f t="shared" ref="G320:Z320" ca="1" si="578">+G$251</f>
        <v>0</v>
      </c>
      <c r="H320" s="151">
        <f t="shared" ca="1" si="578"/>
        <v>0</v>
      </c>
      <c r="I320" s="151">
        <f t="shared" ca="1" si="578"/>
        <v>5.6399999999999994E-6</v>
      </c>
      <c r="J320" s="151">
        <f t="shared" ca="1" si="578"/>
        <v>1.128E-5</v>
      </c>
      <c r="K320" s="151">
        <f t="shared" ca="1" si="578"/>
        <v>1.1279999999999999E-5</v>
      </c>
      <c r="L320" s="151">
        <f t="shared" ca="1" si="578"/>
        <v>1.2408E-5</v>
      </c>
      <c r="M320" s="151">
        <f t="shared" ca="1" si="578"/>
        <v>1.2408000000000002E-5</v>
      </c>
      <c r="N320" s="151">
        <f t="shared" ca="1" si="578"/>
        <v>1.2408E-5</v>
      </c>
      <c r="O320" s="151">
        <f t="shared" ca="1" si="578"/>
        <v>1.2408E-5</v>
      </c>
      <c r="P320" s="151">
        <f t="shared" ca="1" si="578"/>
        <v>1.2408000000000002E-5</v>
      </c>
      <c r="Q320" s="151">
        <f t="shared" ca="1" si="578"/>
        <v>1.3648800000000004E-5</v>
      </c>
      <c r="R320" s="151">
        <f t="shared" ca="1" si="578"/>
        <v>1.3648800000000006E-5</v>
      </c>
      <c r="S320" s="151">
        <f t="shared" ca="1" si="578"/>
        <v>1.3648800000000002E-5</v>
      </c>
      <c r="T320" s="151">
        <f t="shared" ca="1" si="578"/>
        <v>1.3648800000000006E-5</v>
      </c>
      <c r="U320" s="151">
        <f t="shared" ca="1" si="578"/>
        <v>1.3648800000000006E-5</v>
      </c>
      <c r="V320" s="151">
        <f t="shared" ca="1" si="578"/>
        <v>1.5013680000000004E-5</v>
      </c>
      <c r="W320" s="151">
        <f t="shared" ca="1" si="578"/>
        <v>1.5013680000000005E-5</v>
      </c>
      <c r="X320" s="151">
        <f t="shared" ca="1" si="578"/>
        <v>1.5013680000000007E-5</v>
      </c>
      <c r="Y320" s="151">
        <f t="shared" ca="1" si="578"/>
        <v>1.5013680000000004E-5</v>
      </c>
      <c r="Z320" s="151">
        <f t="shared" ca="1" si="578"/>
        <v>1.5013680000000005E-5</v>
      </c>
    </row>
    <row r="321" spans="2:26" x14ac:dyDescent="0.35">
      <c r="B321" s="138" t="s">
        <v>251</v>
      </c>
      <c r="C321" s="138"/>
      <c r="D321" s="139"/>
      <c r="E321" s="139"/>
      <c r="F321" s="139">
        <f t="shared" ref="F321:Z321" ca="1" si="579">+SUM(F318:F320)</f>
        <v>0</v>
      </c>
      <c r="G321" s="139">
        <f t="shared" ca="1" si="579"/>
        <v>0</v>
      </c>
      <c r="H321" s="139">
        <f t="shared" ca="1" si="579"/>
        <v>0</v>
      </c>
      <c r="I321" s="139">
        <f t="shared" ca="1" si="579"/>
        <v>12156531.919531263</v>
      </c>
      <c r="J321" s="139">
        <f t="shared" ca="1" si="579"/>
        <v>25299756.984119631</v>
      </c>
      <c r="K321" s="139">
        <f t="shared" ca="1" si="579"/>
        <v>25918223.302751362</v>
      </c>
      <c r="L321" s="139">
        <f t="shared" ca="1" si="579"/>
        <v>27699751.454203915</v>
      </c>
      <c r="M321" s="139">
        <f t="shared" ca="1" si="579"/>
        <v>28026377.681195293</v>
      </c>
      <c r="N321" s="139">
        <f t="shared" ca="1" si="579"/>
        <v>28470939.905564785</v>
      </c>
      <c r="O321" s="139">
        <f t="shared" ca="1" si="579"/>
        <v>28926898.728953872</v>
      </c>
      <c r="P321" s="139">
        <f t="shared" ca="1" si="579"/>
        <v>29285586.154181607</v>
      </c>
      <c r="Q321" s="139">
        <f t="shared" ca="1" si="579"/>
        <v>31259571.732681621</v>
      </c>
      <c r="R321" s="139">
        <f t="shared" ca="1" si="579"/>
        <v>31751572.409491271</v>
      </c>
      <c r="S321" s="139">
        <f t="shared" ca="1" si="579"/>
        <v>32145082.386842042</v>
      </c>
      <c r="T321" s="139">
        <f t="shared" ca="1" si="579"/>
        <v>32662740.478121068</v>
      </c>
      <c r="U321" s="139">
        <f t="shared" ca="1" si="579"/>
        <v>33193743.255558476</v>
      </c>
      <c r="V321" s="139">
        <f t="shared" ca="1" si="579"/>
        <v>35268344.465901159</v>
      </c>
      <c r="W321" s="139">
        <f t="shared" ca="1" si="579"/>
        <v>35827116.359175742</v>
      </c>
      <c r="X321" s="139">
        <f t="shared" ca="1" si="579"/>
        <v>36400332.609725446</v>
      </c>
      <c r="Y321" s="139">
        <f t="shared" ca="1" si="579"/>
        <v>36872739.180016398</v>
      </c>
      <c r="Z321" s="139">
        <f t="shared" ca="1" si="579"/>
        <v>37476015.690421693</v>
      </c>
    </row>
    <row r="323" spans="2:26" x14ac:dyDescent="0.35">
      <c r="B323" s="148" t="s">
        <v>152</v>
      </c>
      <c r="F323" s="150">
        <f>+F$294</f>
        <v>44196</v>
      </c>
      <c r="G323" s="150">
        <f t="shared" ref="G323:Z323" si="580">+G$294</f>
        <v>44561</v>
      </c>
      <c r="H323" s="150">
        <f t="shared" si="580"/>
        <v>44926</v>
      </c>
      <c r="I323" s="150">
        <f t="shared" si="580"/>
        <v>45291</v>
      </c>
      <c r="J323" s="150">
        <f t="shared" si="580"/>
        <v>45657</v>
      </c>
      <c r="K323" s="150">
        <f t="shared" si="580"/>
        <v>46022</v>
      </c>
      <c r="L323" s="150">
        <f t="shared" si="580"/>
        <v>46387</v>
      </c>
      <c r="M323" s="150">
        <f t="shared" si="580"/>
        <v>46752</v>
      </c>
      <c r="N323" s="150">
        <f t="shared" si="580"/>
        <v>47118</v>
      </c>
      <c r="O323" s="150">
        <f t="shared" si="580"/>
        <v>47483</v>
      </c>
      <c r="P323" s="150">
        <f t="shared" si="580"/>
        <v>47848</v>
      </c>
      <c r="Q323" s="150">
        <f t="shared" si="580"/>
        <v>48213</v>
      </c>
      <c r="R323" s="150">
        <f t="shared" si="580"/>
        <v>48579</v>
      </c>
      <c r="S323" s="150">
        <f t="shared" si="580"/>
        <v>48944</v>
      </c>
      <c r="T323" s="150">
        <f t="shared" si="580"/>
        <v>49309</v>
      </c>
      <c r="U323" s="150">
        <f t="shared" si="580"/>
        <v>49674</v>
      </c>
      <c r="V323" s="150">
        <f t="shared" si="580"/>
        <v>50040</v>
      </c>
      <c r="W323" s="150">
        <f t="shared" si="580"/>
        <v>50405</v>
      </c>
      <c r="X323" s="150">
        <f t="shared" si="580"/>
        <v>50770</v>
      </c>
      <c r="Y323" s="150">
        <f t="shared" si="580"/>
        <v>51135</v>
      </c>
      <c r="Z323" s="150">
        <f t="shared" si="580"/>
        <v>51501</v>
      </c>
    </row>
    <row r="324" spans="2:26" x14ac:dyDescent="0.35">
      <c r="B324" s="33" t="s">
        <v>342</v>
      </c>
      <c r="C324"/>
      <c r="D324"/>
      <c r="E324"/>
      <c r="F324" s="34">
        <f t="shared" ref="F324:Z324" si="581">+F270+F225+F155</f>
        <v>0</v>
      </c>
      <c r="G324" s="34">
        <f t="shared" si="581"/>
        <v>0</v>
      </c>
      <c r="H324" s="34">
        <f t="shared" si="581"/>
        <v>0</v>
      </c>
      <c r="I324" s="34">
        <f t="shared" si="581"/>
        <v>0</v>
      </c>
      <c r="J324" s="34">
        <f t="shared" si="581"/>
        <v>0</v>
      </c>
      <c r="K324" s="34">
        <f t="shared" si="581"/>
        <v>0</v>
      </c>
      <c r="L324" s="34">
        <f t="shared" si="581"/>
        <v>0</v>
      </c>
      <c r="M324" s="34">
        <f t="shared" si="581"/>
        <v>0</v>
      </c>
      <c r="N324" s="34">
        <f t="shared" si="581"/>
        <v>0</v>
      </c>
      <c r="O324" s="34">
        <f t="shared" si="581"/>
        <v>0</v>
      </c>
      <c r="P324" s="34">
        <f t="shared" ca="1" si="581"/>
        <v>467055654.80227685</v>
      </c>
      <c r="Q324" s="34">
        <f t="shared" si="581"/>
        <v>0</v>
      </c>
      <c r="R324" s="34">
        <f t="shared" si="581"/>
        <v>0</v>
      </c>
      <c r="S324" s="34">
        <f t="shared" si="581"/>
        <v>0</v>
      </c>
      <c r="T324" s="34">
        <f t="shared" si="581"/>
        <v>0</v>
      </c>
      <c r="U324" s="34">
        <f t="shared" si="581"/>
        <v>0</v>
      </c>
      <c r="V324" s="34">
        <f t="shared" si="581"/>
        <v>0</v>
      </c>
      <c r="W324" s="34">
        <f t="shared" si="581"/>
        <v>0</v>
      </c>
      <c r="X324" s="34">
        <f t="shared" si="581"/>
        <v>0</v>
      </c>
      <c r="Y324" s="34">
        <f t="shared" si="581"/>
        <v>0</v>
      </c>
      <c r="Z324" s="34">
        <f t="shared" si="581"/>
        <v>0</v>
      </c>
    </row>
    <row r="325" spans="2:26" x14ac:dyDescent="0.35">
      <c r="B325" s="33" t="s">
        <v>343</v>
      </c>
      <c r="F325" s="151">
        <f t="shared" ref="F325:Z325" si="582">+F271+F226+F157</f>
        <v>0</v>
      </c>
      <c r="G325" s="151">
        <f t="shared" si="582"/>
        <v>0</v>
      </c>
      <c r="H325" s="151">
        <f t="shared" si="582"/>
        <v>0</v>
      </c>
      <c r="I325" s="151">
        <f t="shared" si="582"/>
        <v>0</v>
      </c>
      <c r="J325" s="151">
        <f t="shared" si="582"/>
        <v>0</v>
      </c>
      <c r="K325" s="151">
        <f t="shared" si="582"/>
        <v>0</v>
      </c>
      <c r="L325" s="151">
        <f t="shared" si="582"/>
        <v>0</v>
      </c>
      <c r="M325" s="151">
        <f t="shared" si="582"/>
        <v>0</v>
      </c>
      <c r="N325" s="151">
        <f t="shared" si="582"/>
        <v>0</v>
      </c>
      <c r="O325" s="151">
        <f t="shared" si="582"/>
        <v>0</v>
      </c>
      <c r="P325" s="151">
        <f t="shared" ca="1" si="582"/>
        <v>-9341113.0960455369</v>
      </c>
      <c r="Q325" s="151">
        <f t="shared" si="582"/>
        <v>0</v>
      </c>
      <c r="R325" s="151">
        <f t="shared" si="582"/>
        <v>0</v>
      </c>
      <c r="S325" s="151">
        <f t="shared" si="582"/>
        <v>0</v>
      </c>
      <c r="T325" s="151">
        <f t="shared" si="582"/>
        <v>0</v>
      </c>
      <c r="U325" s="151">
        <f t="shared" si="582"/>
        <v>0</v>
      </c>
      <c r="V325" s="151">
        <f t="shared" si="582"/>
        <v>0</v>
      </c>
      <c r="W325" s="151">
        <f t="shared" si="582"/>
        <v>0</v>
      </c>
      <c r="X325" s="151">
        <f t="shared" si="582"/>
        <v>0</v>
      </c>
      <c r="Y325" s="151">
        <f t="shared" si="582"/>
        <v>0</v>
      </c>
      <c r="Z325" s="151">
        <f t="shared" si="582"/>
        <v>0</v>
      </c>
    </row>
    <row r="326" spans="2:26" x14ac:dyDescent="0.35">
      <c r="B326" s="138" t="s">
        <v>345</v>
      </c>
      <c r="C326" s="138"/>
      <c r="D326" s="139"/>
      <c r="E326" s="139"/>
      <c r="F326" s="139">
        <f>+SUM(F324:F325)</f>
        <v>0</v>
      </c>
      <c r="G326" s="139">
        <f t="shared" ref="G326:Z326" si="583">+SUM(G324:G325)</f>
        <v>0</v>
      </c>
      <c r="H326" s="139">
        <f t="shared" si="583"/>
        <v>0</v>
      </c>
      <c r="I326" s="139">
        <f t="shared" si="583"/>
        <v>0</v>
      </c>
      <c r="J326" s="139">
        <f t="shared" si="583"/>
        <v>0</v>
      </c>
      <c r="K326" s="139">
        <f t="shared" si="583"/>
        <v>0</v>
      </c>
      <c r="L326" s="139">
        <f t="shared" si="583"/>
        <v>0</v>
      </c>
      <c r="M326" s="139">
        <f t="shared" si="583"/>
        <v>0</v>
      </c>
      <c r="N326" s="139">
        <f t="shared" si="583"/>
        <v>0</v>
      </c>
      <c r="O326" s="139">
        <f t="shared" si="583"/>
        <v>0</v>
      </c>
      <c r="P326" s="139">
        <f t="shared" ca="1" si="583"/>
        <v>457714541.7062313</v>
      </c>
      <c r="Q326" s="139">
        <f t="shared" si="583"/>
        <v>0</v>
      </c>
      <c r="R326" s="139">
        <f t="shared" si="583"/>
        <v>0</v>
      </c>
      <c r="S326" s="139">
        <f t="shared" si="583"/>
        <v>0</v>
      </c>
      <c r="T326" s="139">
        <f t="shared" si="583"/>
        <v>0</v>
      </c>
      <c r="U326" s="139">
        <f t="shared" si="583"/>
        <v>0</v>
      </c>
      <c r="V326" s="139">
        <f t="shared" si="583"/>
        <v>0</v>
      </c>
      <c r="W326" s="139">
        <f t="shared" si="583"/>
        <v>0</v>
      </c>
      <c r="X326" s="139">
        <f t="shared" si="583"/>
        <v>0</v>
      </c>
      <c r="Y326" s="139">
        <f t="shared" si="583"/>
        <v>0</v>
      </c>
      <c r="Z326" s="139">
        <f t="shared" si="583"/>
        <v>0</v>
      </c>
    </row>
    <row r="328" spans="2:26" x14ac:dyDescent="0.35">
      <c r="B328" s="148" t="s">
        <v>398</v>
      </c>
      <c r="F328" s="150">
        <f t="shared" ref="F328:Z328" si="584">+F$294</f>
        <v>44196</v>
      </c>
      <c r="G328" s="150">
        <f t="shared" si="584"/>
        <v>44561</v>
      </c>
      <c r="H328" s="150">
        <f t="shared" si="584"/>
        <v>44926</v>
      </c>
      <c r="I328" s="150">
        <f t="shared" si="584"/>
        <v>45291</v>
      </c>
      <c r="J328" s="150">
        <f t="shared" si="584"/>
        <v>45657</v>
      </c>
      <c r="K328" s="150">
        <f t="shared" si="584"/>
        <v>46022</v>
      </c>
      <c r="L328" s="150">
        <f t="shared" si="584"/>
        <v>46387</v>
      </c>
      <c r="M328" s="150">
        <f t="shared" si="584"/>
        <v>46752</v>
      </c>
      <c r="N328" s="150">
        <f t="shared" si="584"/>
        <v>47118</v>
      </c>
      <c r="O328" s="150">
        <f t="shared" si="584"/>
        <v>47483</v>
      </c>
      <c r="P328" s="150">
        <f t="shared" si="584"/>
        <v>47848</v>
      </c>
      <c r="Q328" s="150">
        <f t="shared" si="584"/>
        <v>48213</v>
      </c>
      <c r="R328" s="150">
        <f t="shared" si="584"/>
        <v>48579</v>
      </c>
      <c r="S328" s="150">
        <f t="shared" si="584"/>
        <v>48944</v>
      </c>
      <c r="T328" s="150">
        <f t="shared" si="584"/>
        <v>49309</v>
      </c>
      <c r="U328" s="150">
        <f t="shared" si="584"/>
        <v>49674</v>
      </c>
      <c r="V328" s="150">
        <f t="shared" si="584"/>
        <v>50040</v>
      </c>
      <c r="W328" s="150">
        <f t="shared" si="584"/>
        <v>50405</v>
      </c>
      <c r="X328" s="150">
        <f t="shared" si="584"/>
        <v>50770</v>
      </c>
      <c r="Y328" s="150">
        <f t="shared" si="584"/>
        <v>51135</v>
      </c>
      <c r="Z328" s="150">
        <f t="shared" si="584"/>
        <v>51501</v>
      </c>
    </row>
    <row r="329" spans="2:26" x14ac:dyDescent="0.35">
      <c r="B329" s="33" t="s">
        <v>61</v>
      </c>
      <c r="D329" s="48">
        <f>+SUM(F329:Z329)</f>
        <v>6900151</v>
      </c>
      <c r="E329" s="48"/>
      <c r="F329" s="34">
        <f t="shared" ref="F329:Z329" si="585">+F285</f>
        <v>6900151</v>
      </c>
      <c r="G329" s="34">
        <f t="shared" si="585"/>
        <v>0</v>
      </c>
      <c r="H329" s="34">
        <f t="shared" si="585"/>
        <v>0</v>
      </c>
      <c r="I329" s="34">
        <f t="shared" si="585"/>
        <v>0</v>
      </c>
      <c r="J329" s="34">
        <f t="shared" si="585"/>
        <v>0</v>
      </c>
      <c r="K329" s="34">
        <f t="shared" si="585"/>
        <v>0</v>
      </c>
      <c r="L329" s="34">
        <f t="shared" si="585"/>
        <v>0</v>
      </c>
      <c r="M329" s="34">
        <f t="shared" si="585"/>
        <v>0</v>
      </c>
      <c r="N329" s="34">
        <f t="shared" si="585"/>
        <v>0</v>
      </c>
      <c r="O329" s="34">
        <f t="shared" si="585"/>
        <v>0</v>
      </c>
      <c r="P329" s="34">
        <f t="shared" si="585"/>
        <v>0</v>
      </c>
      <c r="Q329" s="34">
        <f t="shared" si="585"/>
        <v>0</v>
      </c>
      <c r="R329" s="34">
        <f t="shared" si="585"/>
        <v>0</v>
      </c>
      <c r="S329" s="34">
        <f t="shared" si="585"/>
        <v>0</v>
      </c>
      <c r="T329" s="34">
        <f t="shared" si="585"/>
        <v>0</v>
      </c>
      <c r="U329" s="34">
        <f t="shared" si="585"/>
        <v>0</v>
      </c>
      <c r="V329" s="34">
        <f t="shared" si="585"/>
        <v>0</v>
      </c>
      <c r="W329" s="34">
        <f t="shared" si="585"/>
        <v>0</v>
      </c>
      <c r="X329" s="34">
        <f t="shared" si="585"/>
        <v>0</v>
      </c>
      <c r="Y329" s="34">
        <f t="shared" si="585"/>
        <v>0</v>
      </c>
      <c r="Z329" s="34">
        <f t="shared" si="585"/>
        <v>0</v>
      </c>
    </row>
    <row r="330" spans="2:26" x14ac:dyDescent="0.35">
      <c r="B330" s="33" t="s">
        <v>8</v>
      </c>
      <c r="D330" s="48">
        <f t="shared" ref="D330:D335" si="586">+SUM(F330:Z330)</f>
        <v>31353547.897872344</v>
      </c>
      <c r="E330" s="48"/>
      <c r="F330" s="151">
        <f t="shared" ref="F330:Z330" si="587">+F286</f>
        <v>31353547.897872344</v>
      </c>
      <c r="G330" s="151">
        <f t="shared" si="587"/>
        <v>0</v>
      </c>
      <c r="H330" s="151">
        <f t="shared" si="587"/>
        <v>0</v>
      </c>
      <c r="I330" s="151">
        <f t="shared" si="587"/>
        <v>0</v>
      </c>
      <c r="J330" s="151">
        <f t="shared" si="587"/>
        <v>0</v>
      </c>
      <c r="K330" s="151">
        <f t="shared" si="587"/>
        <v>0</v>
      </c>
      <c r="L330" s="151">
        <f t="shared" si="587"/>
        <v>0</v>
      </c>
      <c r="M330" s="151">
        <f t="shared" si="587"/>
        <v>0</v>
      </c>
      <c r="N330" s="151">
        <f t="shared" si="587"/>
        <v>0</v>
      </c>
      <c r="O330" s="151">
        <f t="shared" si="587"/>
        <v>0</v>
      </c>
      <c r="P330" s="151">
        <f t="shared" si="587"/>
        <v>0</v>
      </c>
      <c r="Q330" s="151">
        <f t="shared" si="587"/>
        <v>0</v>
      </c>
      <c r="R330" s="151">
        <f t="shared" si="587"/>
        <v>0</v>
      </c>
      <c r="S330" s="151">
        <f t="shared" si="587"/>
        <v>0</v>
      </c>
      <c r="T330" s="151">
        <f t="shared" si="587"/>
        <v>0</v>
      </c>
      <c r="U330" s="151">
        <f t="shared" si="587"/>
        <v>0</v>
      </c>
      <c r="V330" s="151">
        <f t="shared" si="587"/>
        <v>0</v>
      </c>
      <c r="W330" s="151">
        <f t="shared" si="587"/>
        <v>0</v>
      </c>
      <c r="X330" s="151">
        <f t="shared" si="587"/>
        <v>0</v>
      </c>
      <c r="Y330" s="151">
        <f t="shared" si="587"/>
        <v>0</v>
      </c>
      <c r="Z330" s="151">
        <f t="shared" si="587"/>
        <v>0</v>
      </c>
    </row>
    <row r="331" spans="2:26" x14ac:dyDescent="0.35">
      <c r="B331" s="33" t="s">
        <v>57</v>
      </c>
      <c r="D331" s="48">
        <f t="shared" ca="1" si="586"/>
        <v>297663456.66999996</v>
      </c>
      <c r="E331" s="48"/>
      <c r="F331" s="151">
        <f t="shared" ref="F331:Z331" si="588">+F287</f>
        <v>160000</v>
      </c>
      <c r="G331" s="151">
        <f t="shared" ca="1" si="588"/>
        <v>148751728.33499998</v>
      </c>
      <c r="H331" s="151">
        <f t="shared" ca="1" si="588"/>
        <v>148751728.33499998</v>
      </c>
      <c r="I331" s="151">
        <f t="shared" si="588"/>
        <v>0</v>
      </c>
      <c r="J331" s="151">
        <f t="shared" si="588"/>
        <v>0</v>
      </c>
      <c r="K331" s="151">
        <f t="shared" si="588"/>
        <v>0</v>
      </c>
      <c r="L331" s="151">
        <f t="shared" si="588"/>
        <v>0</v>
      </c>
      <c r="M331" s="151">
        <f t="shared" si="588"/>
        <v>0</v>
      </c>
      <c r="N331" s="151">
        <f t="shared" si="588"/>
        <v>0</v>
      </c>
      <c r="O331" s="151">
        <f t="shared" si="588"/>
        <v>0</v>
      </c>
      <c r="P331" s="151">
        <f t="shared" si="588"/>
        <v>0</v>
      </c>
      <c r="Q331" s="151">
        <f t="shared" si="588"/>
        <v>0</v>
      </c>
      <c r="R331" s="151">
        <f t="shared" si="588"/>
        <v>0</v>
      </c>
      <c r="S331" s="151">
        <f t="shared" si="588"/>
        <v>0</v>
      </c>
      <c r="T331" s="151">
        <f t="shared" si="588"/>
        <v>0</v>
      </c>
      <c r="U331" s="151">
        <f t="shared" si="588"/>
        <v>0</v>
      </c>
      <c r="V331" s="151">
        <f t="shared" si="588"/>
        <v>0</v>
      </c>
      <c r="W331" s="151">
        <f t="shared" si="588"/>
        <v>0</v>
      </c>
      <c r="X331" s="151">
        <f t="shared" si="588"/>
        <v>0</v>
      </c>
      <c r="Y331" s="151">
        <f t="shared" si="588"/>
        <v>0</v>
      </c>
      <c r="Z331" s="151">
        <f t="shared" si="588"/>
        <v>0</v>
      </c>
    </row>
    <row r="332" spans="2:26" x14ac:dyDescent="0.35">
      <c r="B332" s="33" t="s">
        <v>58</v>
      </c>
      <c r="D332" s="48">
        <f t="shared" ca="1" si="586"/>
        <v>23359191.388517704</v>
      </c>
      <c r="E332" s="48"/>
      <c r="F332" s="151">
        <f t="shared" ref="F332:Z332" ca="1" si="589">+F288</f>
        <v>13082091.889500661</v>
      </c>
      <c r="G332" s="151">
        <f t="shared" ca="1" si="589"/>
        <v>5138549.7495085215</v>
      </c>
      <c r="H332" s="151">
        <f t="shared" ca="1" si="589"/>
        <v>5138549.7495085215</v>
      </c>
      <c r="I332" s="151">
        <f t="shared" si="589"/>
        <v>0</v>
      </c>
      <c r="J332" s="151">
        <f t="shared" si="589"/>
        <v>0</v>
      </c>
      <c r="K332" s="151">
        <f t="shared" si="589"/>
        <v>0</v>
      </c>
      <c r="L332" s="151">
        <f t="shared" si="589"/>
        <v>0</v>
      </c>
      <c r="M332" s="151">
        <f t="shared" si="589"/>
        <v>0</v>
      </c>
      <c r="N332" s="151">
        <f t="shared" si="589"/>
        <v>0</v>
      </c>
      <c r="O332" s="151">
        <f t="shared" si="589"/>
        <v>0</v>
      </c>
      <c r="P332" s="151">
        <f t="shared" si="589"/>
        <v>0</v>
      </c>
      <c r="Q332" s="151">
        <f t="shared" si="589"/>
        <v>0</v>
      </c>
      <c r="R332" s="151">
        <f t="shared" si="589"/>
        <v>0</v>
      </c>
      <c r="S332" s="151">
        <f t="shared" si="589"/>
        <v>0</v>
      </c>
      <c r="T332" s="151">
        <f t="shared" si="589"/>
        <v>0</v>
      </c>
      <c r="U332" s="151">
        <f t="shared" si="589"/>
        <v>0</v>
      </c>
      <c r="V332" s="151">
        <f t="shared" si="589"/>
        <v>0</v>
      </c>
      <c r="W332" s="151">
        <f t="shared" si="589"/>
        <v>0</v>
      </c>
      <c r="X332" s="151">
        <f t="shared" si="589"/>
        <v>0</v>
      </c>
      <c r="Y332" s="151">
        <f t="shared" si="589"/>
        <v>0</v>
      </c>
      <c r="Z332" s="151">
        <f t="shared" si="589"/>
        <v>0</v>
      </c>
    </row>
    <row r="333" spans="2:26" x14ac:dyDescent="0.35">
      <c r="B333" s="33" t="s">
        <v>80</v>
      </c>
      <c r="D333" s="48">
        <f t="shared" si="586"/>
        <v>0</v>
      </c>
      <c r="E333" s="48"/>
      <c r="F333" s="151">
        <v>0</v>
      </c>
      <c r="G333" s="151">
        <v>0</v>
      </c>
      <c r="H333" s="151">
        <v>0</v>
      </c>
      <c r="I333" s="151">
        <v>0</v>
      </c>
      <c r="J333" s="151">
        <v>0</v>
      </c>
      <c r="K333" s="151">
        <v>0</v>
      </c>
      <c r="L333" s="151">
        <v>0</v>
      </c>
      <c r="M333" s="151">
        <v>0</v>
      </c>
      <c r="N333" s="151">
        <v>0</v>
      </c>
      <c r="O333" s="151">
        <v>0</v>
      </c>
      <c r="P333" s="151">
        <v>0</v>
      </c>
      <c r="Q333" s="151">
        <v>0</v>
      </c>
      <c r="R333" s="151">
        <v>0</v>
      </c>
      <c r="S333" s="151">
        <v>0</v>
      </c>
      <c r="T333" s="151">
        <v>0</v>
      </c>
      <c r="U333" s="151">
        <v>0</v>
      </c>
      <c r="V333" s="151">
        <v>0</v>
      </c>
      <c r="W333" s="151">
        <v>0</v>
      </c>
      <c r="X333" s="151">
        <v>0</v>
      </c>
      <c r="Y333" s="151">
        <v>0</v>
      </c>
      <c r="Z333" s="151">
        <v>0</v>
      </c>
    </row>
    <row r="334" spans="2:26" x14ac:dyDescent="0.35">
      <c r="B334" s="33" t="s">
        <v>83</v>
      </c>
      <c r="D334" s="48">
        <f t="shared" ca="1" si="586"/>
        <v>764323.10105370777</v>
      </c>
      <c r="E334" s="48"/>
      <c r="F334" s="151">
        <f t="shared" ref="F334:Z334" si="590">+F290</f>
        <v>0</v>
      </c>
      <c r="G334" s="151">
        <f t="shared" ca="1" si="590"/>
        <v>382161.55052685388</v>
      </c>
      <c r="H334" s="151">
        <f t="shared" ca="1" si="590"/>
        <v>382161.55052685388</v>
      </c>
      <c r="I334" s="151">
        <f t="shared" si="590"/>
        <v>0</v>
      </c>
      <c r="J334" s="151">
        <f t="shared" si="590"/>
        <v>0</v>
      </c>
      <c r="K334" s="151">
        <f t="shared" si="590"/>
        <v>0</v>
      </c>
      <c r="L334" s="151">
        <f t="shared" si="590"/>
        <v>0</v>
      </c>
      <c r="M334" s="151">
        <f t="shared" si="590"/>
        <v>0</v>
      </c>
      <c r="N334" s="151">
        <f t="shared" si="590"/>
        <v>0</v>
      </c>
      <c r="O334" s="151">
        <f t="shared" si="590"/>
        <v>0</v>
      </c>
      <c r="P334" s="151">
        <f t="shared" si="590"/>
        <v>0</v>
      </c>
      <c r="Q334" s="151">
        <f t="shared" si="590"/>
        <v>0</v>
      </c>
      <c r="R334" s="151">
        <f t="shared" si="590"/>
        <v>0</v>
      </c>
      <c r="S334" s="151">
        <f t="shared" si="590"/>
        <v>0</v>
      </c>
      <c r="T334" s="151">
        <f t="shared" si="590"/>
        <v>0</v>
      </c>
      <c r="U334" s="151">
        <f t="shared" si="590"/>
        <v>0</v>
      </c>
      <c r="V334" s="151">
        <f t="shared" si="590"/>
        <v>0</v>
      </c>
      <c r="W334" s="151">
        <f t="shared" si="590"/>
        <v>0</v>
      </c>
      <c r="X334" s="151">
        <f t="shared" si="590"/>
        <v>0</v>
      </c>
      <c r="Y334" s="151">
        <f t="shared" si="590"/>
        <v>0</v>
      </c>
      <c r="Z334" s="151">
        <f t="shared" si="590"/>
        <v>0</v>
      </c>
    </row>
    <row r="335" spans="2:26" x14ac:dyDescent="0.35">
      <c r="B335" s="33" t="s">
        <v>60</v>
      </c>
      <c r="D335" s="48">
        <f t="shared" ca="1" si="586"/>
        <v>11439161.391024234</v>
      </c>
      <c r="E335" s="48"/>
      <c r="F335" s="151">
        <f t="shared" ref="F335:Z335" ca="1" si="591">+F291</f>
        <v>0</v>
      </c>
      <c r="G335" s="151">
        <f t="shared" ca="1" si="591"/>
        <v>2859790.3477560584</v>
      </c>
      <c r="H335" s="151">
        <f t="shared" ca="1" si="591"/>
        <v>2859790.3477560584</v>
      </c>
      <c r="I335" s="151">
        <f t="shared" ca="1" si="591"/>
        <v>2859790.3477560584</v>
      </c>
      <c r="J335" s="151">
        <f t="shared" ca="1" si="591"/>
        <v>2859790.3477560584</v>
      </c>
      <c r="K335" s="151">
        <f t="shared" si="591"/>
        <v>0</v>
      </c>
      <c r="L335" s="151">
        <f t="shared" si="591"/>
        <v>0</v>
      </c>
      <c r="M335" s="151">
        <f t="shared" si="591"/>
        <v>0</v>
      </c>
      <c r="N335" s="151">
        <f t="shared" si="591"/>
        <v>0</v>
      </c>
      <c r="O335" s="151">
        <f t="shared" si="591"/>
        <v>0</v>
      </c>
      <c r="P335" s="151">
        <f t="shared" si="591"/>
        <v>0</v>
      </c>
      <c r="Q335" s="151">
        <f t="shared" si="591"/>
        <v>0</v>
      </c>
      <c r="R335" s="151">
        <f t="shared" si="591"/>
        <v>0</v>
      </c>
      <c r="S335" s="151">
        <f t="shared" si="591"/>
        <v>0</v>
      </c>
      <c r="T335" s="151">
        <f t="shared" si="591"/>
        <v>0</v>
      </c>
      <c r="U335" s="151">
        <f t="shared" si="591"/>
        <v>0</v>
      </c>
      <c r="V335" s="151">
        <f t="shared" si="591"/>
        <v>0</v>
      </c>
      <c r="W335" s="151">
        <f t="shared" si="591"/>
        <v>0</v>
      </c>
      <c r="X335" s="151">
        <f t="shared" si="591"/>
        <v>0</v>
      </c>
      <c r="Y335" s="151">
        <f t="shared" si="591"/>
        <v>0</v>
      </c>
      <c r="Z335" s="151">
        <f t="shared" si="591"/>
        <v>0</v>
      </c>
    </row>
    <row r="336" spans="2:26" x14ac:dyDescent="0.35">
      <c r="B336" s="138" t="s">
        <v>20</v>
      </c>
      <c r="C336" s="138"/>
      <c r="D336" s="139">
        <f ca="1">+SUM(F336:Z336)</f>
        <v>371479831.44846803</v>
      </c>
      <c r="E336" s="139"/>
      <c r="F336" s="139">
        <f ca="1">+SUM(F329:F335)</f>
        <v>51495790.787373006</v>
      </c>
      <c r="G336" s="139">
        <f t="shared" ref="G336:Z336" ca="1" si="592">+SUM(G329:G335)</f>
        <v>157132229.98279142</v>
      </c>
      <c r="H336" s="139">
        <f t="shared" ca="1" si="592"/>
        <v>157132229.98279142</v>
      </c>
      <c r="I336" s="139">
        <f t="shared" ca="1" si="592"/>
        <v>2859790.3477560584</v>
      </c>
      <c r="J336" s="139">
        <f t="shared" ca="1" si="592"/>
        <v>2859790.3477560584</v>
      </c>
      <c r="K336" s="139">
        <f t="shared" si="592"/>
        <v>0</v>
      </c>
      <c r="L336" s="139">
        <f t="shared" si="592"/>
        <v>0</v>
      </c>
      <c r="M336" s="139">
        <f t="shared" si="592"/>
        <v>0</v>
      </c>
      <c r="N336" s="139">
        <f t="shared" si="592"/>
        <v>0</v>
      </c>
      <c r="O336" s="139">
        <f t="shared" si="592"/>
        <v>0</v>
      </c>
      <c r="P336" s="139">
        <f t="shared" si="592"/>
        <v>0</v>
      </c>
      <c r="Q336" s="139">
        <f t="shared" si="592"/>
        <v>0</v>
      </c>
      <c r="R336" s="139">
        <f t="shared" si="592"/>
        <v>0</v>
      </c>
      <c r="S336" s="139">
        <f t="shared" si="592"/>
        <v>0</v>
      </c>
      <c r="T336" s="139">
        <f t="shared" si="592"/>
        <v>0</v>
      </c>
      <c r="U336" s="139">
        <f t="shared" si="592"/>
        <v>0</v>
      </c>
      <c r="V336" s="139">
        <f t="shared" si="592"/>
        <v>0</v>
      </c>
      <c r="W336" s="139">
        <f t="shared" si="592"/>
        <v>0</v>
      </c>
      <c r="X336" s="139">
        <f t="shared" si="592"/>
        <v>0</v>
      </c>
      <c r="Y336" s="139">
        <f t="shared" si="592"/>
        <v>0</v>
      </c>
      <c r="Z336" s="139">
        <f t="shared" si="592"/>
        <v>0</v>
      </c>
    </row>
    <row r="338" spans="2:26" x14ac:dyDescent="0.35">
      <c r="B338" s="148" t="s">
        <v>353</v>
      </c>
      <c r="F338" s="150">
        <f>+Assumptions!$F$22</f>
        <v>44196</v>
      </c>
      <c r="G338" s="150">
        <f>+EOMONTH(F338,12)</f>
        <v>44561</v>
      </c>
      <c r="H338" s="150">
        <f t="shared" ref="H338" si="593">+EOMONTH(G338,12)</f>
        <v>44926</v>
      </c>
      <c r="I338" s="150">
        <f t="shared" ref="I338" si="594">+EOMONTH(H338,12)</f>
        <v>45291</v>
      </c>
      <c r="J338" s="150">
        <f t="shared" ref="J338" si="595">+EOMONTH(I338,12)</f>
        <v>45657</v>
      </c>
      <c r="K338" s="150">
        <f t="shared" ref="K338" si="596">+EOMONTH(J338,12)</f>
        <v>46022</v>
      </c>
      <c r="L338" s="150">
        <f t="shared" ref="L338" si="597">+EOMONTH(K338,12)</f>
        <v>46387</v>
      </c>
      <c r="M338" s="150">
        <f t="shared" ref="M338" si="598">+EOMONTH(L338,12)</f>
        <v>46752</v>
      </c>
      <c r="N338" s="150">
        <f t="shared" ref="N338" si="599">+EOMONTH(M338,12)</f>
        <v>47118</v>
      </c>
      <c r="O338" s="150">
        <f t="shared" ref="O338" si="600">+EOMONTH(N338,12)</f>
        <v>47483</v>
      </c>
      <c r="P338" s="150">
        <f t="shared" ref="P338" si="601">+EOMONTH(O338,12)</f>
        <v>47848</v>
      </c>
      <c r="Q338" s="150">
        <f t="shared" ref="Q338" si="602">+EOMONTH(P338,12)</f>
        <v>48213</v>
      </c>
      <c r="R338" s="150">
        <f t="shared" ref="R338" si="603">+EOMONTH(Q338,12)</f>
        <v>48579</v>
      </c>
      <c r="S338" s="150">
        <f t="shared" ref="S338" si="604">+EOMONTH(R338,12)</f>
        <v>48944</v>
      </c>
      <c r="T338" s="150">
        <f t="shared" ref="T338" si="605">+EOMONTH(S338,12)</f>
        <v>49309</v>
      </c>
      <c r="U338" s="150">
        <f t="shared" ref="U338" si="606">+EOMONTH(T338,12)</f>
        <v>49674</v>
      </c>
      <c r="V338" s="150">
        <f t="shared" ref="V338" si="607">+EOMONTH(U338,12)</f>
        <v>50040</v>
      </c>
      <c r="W338" s="150">
        <f t="shared" ref="W338" si="608">+EOMONTH(V338,12)</f>
        <v>50405</v>
      </c>
      <c r="X338" s="150">
        <f t="shared" ref="X338" si="609">+EOMONTH(W338,12)</f>
        <v>50770</v>
      </c>
      <c r="Y338" s="150">
        <f t="shared" ref="Y338" si="610">+EOMONTH(X338,12)</f>
        <v>51135</v>
      </c>
      <c r="Z338" s="150">
        <f t="shared" ref="Z338" si="611">+EOMONTH(Y338,12)</f>
        <v>51501</v>
      </c>
    </row>
    <row r="339" spans="2:26" x14ac:dyDescent="0.35">
      <c r="B339" s="33" t="s">
        <v>29</v>
      </c>
      <c r="D339" s="48">
        <f ca="1">+D336-SUM(D296:D299,D301)</f>
        <v>275780966.54923189</v>
      </c>
      <c r="E339" s="48"/>
      <c r="F339" s="34">
        <f ca="1">+MIN($D$339-SUM('Phase I Pro Forma'!$E339:E339),'Phase I Pro Forma'!F$336)</f>
        <v>51495790.787373006</v>
      </c>
      <c r="G339" s="34">
        <f ca="1">+MIN($D$339-SUM('Phase I Pro Forma'!$E339:F339),'Phase I Pro Forma'!G$336)</f>
        <v>157132229.98279142</v>
      </c>
      <c r="H339" s="34">
        <f ca="1">+MIN($D$339-SUM('Phase I Pro Forma'!$E339:G339),'Phase I Pro Forma'!H$336)</f>
        <v>67152945.779067457</v>
      </c>
      <c r="I339" s="34">
        <f ca="1">+MIN($D$339-SUM('Phase I Pro Forma'!$E339:H339),'Phase I Pro Forma'!I$336)</f>
        <v>0</v>
      </c>
      <c r="J339" s="34">
        <f ca="1">+MIN($D$339-SUM('Phase I Pro Forma'!$E339:I339),'Phase I Pro Forma'!J$336)</f>
        <v>0</v>
      </c>
      <c r="K339" s="34">
        <f ca="1">+MIN($D$339-SUM('Phase I Pro Forma'!$E339:J339),'Phase I Pro Forma'!K$336)</f>
        <v>0</v>
      </c>
      <c r="L339" s="34">
        <f ca="1">+MIN($D$339-SUM('Phase I Pro Forma'!$E339:K339),'Phase I Pro Forma'!L$336)</f>
        <v>0</v>
      </c>
      <c r="M339" s="34">
        <f ca="1">+MIN($D$339-SUM('Phase I Pro Forma'!$E339:L339),'Phase I Pro Forma'!M$336)</f>
        <v>0</v>
      </c>
      <c r="N339" s="34">
        <f ca="1">+MIN($D$339-SUM('Phase I Pro Forma'!$E339:M339),'Phase I Pro Forma'!N$336)</f>
        <v>0</v>
      </c>
      <c r="O339" s="34">
        <f ca="1">+MIN($D$339-SUM('Phase I Pro Forma'!$E339:N339),'Phase I Pro Forma'!O$336)</f>
        <v>0</v>
      </c>
      <c r="P339" s="34">
        <f ca="1">+MIN($D$339-SUM('Phase I Pro Forma'!$E339:O339),'Phase I Pro Forma'!P$336)</f>
        <v>0</v>
      </c>
      <c r="Q339" s="34">
        <f ca="1">+MIN($D$339-SUM('Phase I Pro Forma'!$E339:P339),'Phase I Pro Forma'!Q$336)</f>
        <v>0</v>
      </c>
      <c r="R339" s="34">
        <f ca="1">+MIN($D$339-SUM('Phase I Pro Forma'!$E339:Q339),'Phase I Pro Forma'!R$336)</f>
        <v>0</v>
      </c>
      <c r="S339" s="34">
        <f ca="1">+MIN($D$339-SUM('Phase I Pro Forma'!$E339:R339),'Phase I Pro Forma'!S$336)</f>
        <v>0</v>
      </c>
      <c r="T339" s="34">
        <f ca="1">+MIN($D$339-SUM('Phase I Pro Forma'!$E339:S339),'Phase I Pro Forma'!T$336)</f>
        <v>0</v>
      </c>
      <c r="U339" s="34">
        <f ca="1">+MIN($D$339-SUM('Phase I Pro Forma'!$E339:T339),'Phase I Pro Forma'!U$336)</f>
        <v>0</v>
      </c>
      <c r="V339" s="34">
        <f ca="1">+MIN($D$339-SUM('Phase I Pro Forma'!$E339:U339),'Phase I Pro Forma'!V$336)</f>
        <v>0</v>
      </c>
      <c r="W339" s="34">
        <f ca="1">+MIN($D$339-SUM('Phase I Pro Forma'!$E339:V339),'Phase I Pro Forma'!W$336)</f>
        <v>0</v>
      </c>
      <c r="X339" s="34">
        <f ca="1">+MIN($D$339-SUM('Phase I Pro Forma'!$E339:W339),'Phase I Pro Forma'!X$336)</f>
        <v>0</v>
      </c>
      <c r="Y339" s="34">
        <f ca="1">+MIN($D$339-SUM('Phase I Pro Forma'!$E339:X339),'Phase I Pro Forma'!Y$336)</f>
        <v>0</v>
      </c>
      <c r="Z339" s="34">
        <f ca="1">+MIN($D$339-SUM('Phase I Pro Forma'!$E339:Y339),'Phase I Pro Forma'!Z$336)</f>
        <v>0</v>
      </c>
    </row>
    <row r="340" spans="2:26" x14ac:dyDescent="0.35">
      <c r="B340" s="33" t="s">
        <v>332</v>
      </c>
      <c r="D340" s="48">
        <f t="shared" ref="D340:D346" ca="1" si="612">+SUM(F340:Z340)</f>
        <v>0</v>
      </c>
      <c r="E340" s="48"/>
      <c r="F340" s="151">
        <f ca="1">+MIN('S&amp;U'!$H19-SUM('Phase I Pro Forma'!$E340:E340),'Phase I Pro Forma'!F$336-SUM(F$339:F339))</f>
        <v>0</v>
      </c>
      <c r="G340" s="151">
        <f ca="1">+MIN('S&amp;U'!$H19-SUM('Phase I Pro Forma'!$E340:F340),'Phase I Pro Forma'!G$336-SUM(G$339:G339))</f>
        <v>0</v>
      </c>
      <c r="H340" s="151">
        <f ca="1">+MIN('S&amp;U'!$H19-SUM('Phase I Pro Forma'!$E340:G340),'Phase I Pro Forma'!H$336-SUM(H$339:H339))</f>
        <v>0</v>
      </c>
      <c r="I340" s="151">
        <f ca="1">+MIN('S&amp;U'!$H19-SUM('Phase I Pro Forma'!$E340:H340),'Phase I Pro Forma'!I$336-SUM(I$339:I339))</f>
        <v>0</v>
      </c>
      <c r="J340" s="151">
        <f ca="1">+MIN('S&amp;U'!$H19-SUM('Phase I Pro Forma'!$E340:I340),'Phase I Pro Forma'!J$336-SUM(J$339:J339))</f>
        <v>0</v>
      </c>
      <c r="K340" s="151">
        <f ca="1">+MIN('S&amp;U'!$H19-SUM('Phase I Pro Forma'!$E340:J340),'Phase I Pro Forma'!K$336-SUM(K$339:K339))</f>
        <v>0</v>
      </c>
      <c r="L340" s="151">
        <f ca="1">+MIN('S&amp;U'!$H19-SUM('Phase I Pro Forma'!$E340:K340),'Phase I Pro Forma'!L$336-SUM(L$339:L339))</f>
        <v>0</v>
      </c>
      <c r="M340" s="151">
        <f ca="1">+MIN('S&amp;U'!$H19-SUM('Phase I Pro Forma'!$E340:L340),'Phase I Pro Forma'!M$336-SUM(M$339:M339))</f>
        <v>0</v>
      </c>
      <c r="N340" s="151">
        <f ca="1">+MIN('S&amp;U'!$H19-SUM('Phase I Pro Forma'!$E340:M340),'Phase I Pro Forma'!N$336-SUM(N$339:N339))</f>
        <v>0</v>
      </c>
      <c r="O340" s="151">
        <f ca="1">+MIN('S&amp;U'!$H19-SUM('Phase I Pro Forma'!$E340:N340),'Phase I Pro Forma'!O$336-SUM(O$339:O339))</f>
        <v>0</v>
      </c>
      <c r="P340" s="151">
        <f ca="1">+MIN('S&amp;U'!$H19-SUM('Phase I Pro Forma'!$E340:O340),'Phase I Pro Forma'!P$336-SUM(P$339:P339))</f>
        <v>0</v>
      </c>
      <c r="Q340" s="151">
        <f ca="1">+MIN('S&amp;U'!$H19-SUM('Phase I Pro Forma'!$E340:P340),'Phase I Pro Forma'!Q$336-SUM(Q$339:Q339))</f>
        <v>0</v>
      </c>
      <c r="R340" s="151">
        <f ca="1">+MIN('S&amp;U'!$H19-SUM('Phase I Pro Forma'!$E340:Q340),'Phase I Pro Forma'!R$336-SUM(R$339:R339))</f>
        <v>0</v>
      </c>
      <c r="S340" s="151">
        <f ca="1">+MIN('S&amp;U'!$H19-SUM('Phase I Pro Forma'!$E340:R340),'Phase I Pro Forma'!S$336-SUM(S$339:S339))</f>
        <v>0</v>
      </c>
      <c r="T340" s="151">
        <f ca="1">+MIN('S&amp;U'!$H19-SUM('Phase I Pro Forma'!$E340:S340),'Phase I Pro Forma'!T$336-SUM(T$339:T339))</f>
        <v>0</v>
      </c>
      <c r="U340" s="151">
        <f ca="1">+MIN('S&amp;U'!$H19-SUM('Phase I Pro Forma'!$E340:T340),'Phase I Pro Forma'!U$336-SUM(U$339:U339))</f>
        <v>0</v>
      </c>
      <c r="V340" s="151">
        <f ca="1">+MIN('S&amp;U'!$H19-SUM('Phase I Pro Forma'!$E340:U340),'Phase I Pro Forma'!V$336-SUM(V$339:V339))</f>
        <v>0</v>
      </c>
      <c r="W340" s="151">
        <f ca="1">+MIN('S&amp;U'!$H19-SUM('Phase I Pro Forma'!$E340:V340),'Phase I Pro Forma'!W$336-SUM(W$339:W339))</f>
        <v>0</v>
      </c>
      <c r="X340" s="151">
        <f ca="1">+MIN('S&amp;U'!$H19-SUM('Phase I Pro Forma'!$E340:W340),'Phase I Pro Forma'!X$336-SUM(X$339:X339))</f>
        <v>0</v>
      </c>
      <c r="Y340" s="151">
        <f ca="1">+MIN('S&amp;U'!$H19-SUM('Phase I Pro Forma'!$E340:X340),'Phase I Pro Forma'!Y$336-SUM(Y$339:Y339))</f>
        <v>0</v>
      </c>
      <c r="Z340" s="151">
        <f ca="1">+MIN('S&amp;U'!$H19-SUM('Phase I Pro Forma'!$E340:Y340),'Phase I Pro Forma'!Z$336-SUM(Z$339:Z339))</f>
        <v>0</v>
      </c>
    </row>
    <row r="341" spans="2:26" x14ac:dyDescent="0.35">
      <c r="B341" s="33" t="s">
        <v>99</v>
      </c>
      <c r="D341" s="48">
        <f t="shared" ca="1" si="612"/>
        <v>12714766.389964083</v>
      </c>
      <c r="E341" s="48"/>
      <c r="F341" s="151">
        <f ca="1">+MIN('S&amp;U'!$H20-SUM('Phase I Pro Forma'!$E341:E341),'Phase I Pro Forma'!F$336-SUM(F$339:F340))</f>
        <v>0</v>
      </c>
      <c r="G341" s="151">
        <f ca="1">+MIN('S&amp;U'!$H20-SUM('Phase I Pro Forma'!$E341:F341),'Phase I Pro Forma'!G$336-SUM(G$339:G340))</f>
        <v>0</v>
      </c>
      <c r="H341" s="151">
        <f ca="1">+MIN('S&amp;U'!$H20-SUM('Phase I Pro Forma'!$E341:G341),'Phase I Pro Forma'!H$336-SUM(H$339:H340))</f>
        <v>12714766.389964083</v>
      </c>
      <c r="I341" s="151">
        <f ca="1">+MIN('S&amp;U'!$H20-SUM('Phase I Pro Forma'!$E341:H341),'Phase I Pro Forma'!I$336-SUM(I$339:I340))</f>
        <v>0</v>
      </c>
      <c r="J341" s="151">
        <f ca="1">+MIN('S&amp;U'!$H20-SUM('Phase I Pro Forma'!$E341:I341),'Phase I Pro Forma'!J$336-SUM(J$339:J340))</f>
        <v>0</v>
      </c>
      <c r="K341" s="151">
        <f ca="1">+MIN('S&amp;U'!$H20-SUM('Phase I Pro Forma'!$E341:J341),'Phase I Pro Forma'!K$336-SUM(K$339:K340))</f>
        <v>0</v>
      </c>
      <c r="L341" s="151">
        <f ca="1">+MIN('S&amp;U'!$H20-SUM('Phase I Pro Forma'!$E341:K341),'Phase I Pro Forma'!L$336-SUM(L$339:L340))</f>
        <v>0</v>
      </c>
      <c r="M341" s="151">
        <f ca="1">+MIN('S&amp;U'!$H20-SUM('Phase I Pro Forma'!$E341:L341),'Phase I Pro Forma'!M$336-SUM(M$339:M340))</f>
        <v>0</v>
      </c>
      <c r="N341" s="151">
        <f ca="1">+MIN('S&amp;U'!$H20-SUM('Phase I Pro Forma'!$E341:M341),'Phase I Pro Forma'!N$336-SUM(N$339:N340))</f>
        <v>0</v>
      </c>
      <c r="O341" s="151">
        <f ca="1">+MIN('S&amp;U'!$H20-SUM('Phase I Pro Forma'!$E341:N341),'Phase I Pro Forma'!O$336-SUM(O$339:O340))</f>
        <v>0</v>
      </c>
      <c r="P341" s="151">
        <f ca="1">+MIN('S&amp;U'!$H20-SUM('Phase I Pro Forma'!$E341:O341),'Phase I Pro Forma'!P$336-SUM(P$339:P340))</f>
        <v>0</v>
      </c>
      <c r="Q341" s="151">
        <f ca="1">+MIN('S&amp;U'!$H20-SUM('Phase I Pro Forma'!$E341:P341),'Phase I Pro Forma'!Q$336-SUM(Q$339:Q340))</f>
        <v>0</v>
      </c>
      <c r="R341" s="151">
        <f ca="1">+MIN('S&amp;U'!$H20-SUM('Phase I Pro Forma'!$E341:Q341),'Phase I Pro Forma'!R$336-SUM(R$339:R340))</f>
        <v>0</v>
      </c>
      <c r="S341" s="151">
        <f ca="1">+MIN('S&amp;U'!$H20-SUM('Phase I Pro Forma'!$E341:R341),'Phase I Pro Forma'!S$336-SUM(S$339:S340))</f>
        <v>0</v>
      </c>
      <c r="T341" s="151">
        <f ca="1">+MIN('S&amp;U'!$H20-SUM('Phase I Pro Forma'!$E341:S341),'Phase I Pro Forma'!T$336-SUM(T$339:T340))</f>
        <v>0</v>
      </c>
      <c r="U341" s="151">
        <f ca="1">+MIN('S&amp;U'!$H20-SUM('Phase I Pro Forma'!$E341:T341),'Phase I Pro Forma'!U$336-SUM(U$339:U340))</f>
        <v>0</v>
      </c>
      <c r="V341" s="151">
        <f ca="1">+MIN('S&amp;U'!$H20-SUM('Phase I Pro Forma'!$E341:U341),'Phase I Pro Forma'!V$336-SUM(V$339:V340))</f>
        <v>0</v>
      </c>
      <c r="W341" s="151">
        <f ca="1">+MIN('S&amp;U'!$H20-SUM('Phase I Pro Forma'!$E341:V341),'Phase I Pro Forma'!W$336-SUM(W$339:W340))</f>
        <v>0</v>
      </c>
      <c r="X341" s="151">
        <f ca="1">+MIN('S&amp;U'!$H20-SUM('Phase I Pro Forma'!$E341:W341),'Phase I Pro Forma'!X$336-SUM(X$339:X340))</f>
        <v>0</v>
      </c>
      <c r="Y341" s="151">
        <f ca="1">+MIN('S&amp;U'!$H20-SUM('Phase I Pro Forma'!$E341:X341),'Phase I Pro Forma'!Y$336-SUM(Y$339:Y340))</f>
        <v>0</v>
      </c>
      <c r="Z341" s="151">
        <f ca="1">+MIN('S&amp;U'!$H20-SUM('Phase I Pro Forma'!$E341:Y341),'Phase I Pro Forma'!Z$336-SUM(Z$339:Z340))</f>
        <v>0</v>
      </c>
    </row>
    <row r="342" spans="2:26" x14ac:dyDescent="0.35">
      <c r="B342" s="33" t="s">
        <v>100</v>
      </c>
      <c r="D342" s="48">
        <f t="shared" ca="1" si="612"/>
        <v>5538000</v>
      </c>
      <c r="E342" s="48"/>
      <c r="F342" s="151">
        <f ca="1">+MIN('S&amp;U'!$H21-SUM('Phase I Pro Forma'!$E342:E342),'Phase I Pro Forma'!F$336-SUM(F$339:F341))</f>
        <v>0</v>
      </c>
      <c r="G342" s="151">
        <f ca="1">+MIN('S&amp;U'!$H21-SUM('Phase I Pro Forma'!$E342:F342),'Phase I Pro Forma'!G$336-SUM(G$339:G341))</f>
        <v>0</v>
      </c>
      <c r="H342" s="151">
        <f ca="1">+MIN('S&amp;U'!$H21-SUM('Phase I Pro Forma'!$E342:G342),'Phase I Pro Forma'!H$336-SUM(H$339:H341))</f>
        <v>5538000</v>
      </c>
      <c r="I342" s="151">
        <f ca="1">+MIN('S&amp;U'!$H21-SUM('Phase I Pro Forma'!$E342:H342),'Phase I Pro Forma'!I$336-SUM(I$339:I341))</f>
        <v>0</v>
      </c>
      <c r="J342" s="151">
        <f ca="1">+MIN('S&amp;U'!$H21-SUM('Phase I Pro Forma'!$E342:I342),'Phase I Pro Forma'!J$336-SUM(J$339:J341))</f>
        <v>0</v>
      </c>
      <c r="K342" s="151">
        <f ca="1">+MIN('S&amp;U'!$H21-SUM('Phase I Pro Forma'!$E342:J342),'Phase I Pro Forma'!K$336-SUM(K$339:K341))</f>
        <v>0</v>
      </c>
      <c r="L342" s="151">
        <f ca="1">+MIN('S&amp;U'!$H21-SUM('Phase I Pro Forma'!$E342:K342),'Phase I Pro Forma'!L$336-SUM(L$339:L341))</f>
        <v>0</v>
      </c>
      <c r="M342" s="151">
        <f ca="1">+MIN('S&amp;U'!$H21-SUM('Phase I Pro Forma'!$E342:L342),'Phase I Pro Forma'!M$336-SUM(M$339:M341))</f>
        <v>0</v>
      </c>
      <c r="N342" s="151">
        <f ca="1">+MIN('S&amp;U'!$H21-SUM('Phase I Pro Forma'!$E342:M342),'Phase I Pro Forma'!N$336-SUM(N$339:N341))</f>
        <v>0</v>
      </c>
      <c r="O342" s="151">
        <f ca="1">+MIN('S&amp;U'!$H21-SUM('Phase I Pro Forma'!$E342:N342),'Phase I Pro Forma'!O$336-SUM(O$339:O341))</f>
        <v>0</v>
      </c>
      <c r="P342" s="151">
        <f ca="1">+MIN('S&amp;U'!$H21-SUM('Phase I Pro Forma'!$E342:O342),'Phase I Pro Forma'!P$336-SUM(P$339:P341))</f>
        <v>0</v>
      </c>
      <c r="Q342" s="151">
        <f ca="1">+MIN('S&amp;U'!$H21-SUM('Phase I Pro Forma'!$E342:P342),'Phase I Pro Forma'!Q$336-SUM(Q$339:Q341))</f>
        <v>0</v>
      </c>
      <c r="R342" s="151">
        <f ca="1">+MIN('S&amp;U'!$H21-SUM('Phase I Pro Forma'!$E342:Q342),'Phase I Pro Forma'!R$336-SUM(R$339:R341))</f>
        <v>0</v>
      </c>
      <c r="S342" s="151">
        <f ca="1">+MIN('S&amp;U'!$H21-SUM('Phase I Pro Forma'!$E342:R342),'Phase I Pro Forma'!S$336-SUM(S$339:S341))</f>
        <v>0</v>
      </c>
      <c r="T342" s="151">
        <f ca="1">+MIN('S&amp;U'!$H21-SUM('Phase I Pro Forma'!$E342:S342),'Phase I Pro Forma'!T$336-SUM(T$339:T341))</f>
        <v>0</v>
      </c>
      <c r="U342" s="151">
        <f ca="1">+MIN('S&amp;U'!$H21-SUM('Phase I Pro Forma'!$E342:T342),'Phase I Pro Forma'!U$336-SUM(U$339:U341))</f>
        <v>0</v>
      </c>
      <c r="V342" s="151">
        <f ca="1">+MIN('S&amp;U'!$H21-SUM('Phase I Pro Forma'!$E342:U342),'Phase I Pro Forma'!V$336-SUM(V$339:V341))</f>
        <v>0</v>
      </c>
      <c r="W342" s="151">
        <f ca="1">+MIN('S&amp;U'!$H21-SUM('Phase I Pro Forma'!$E342:V342),'Phase I Pro Forma'!W$336-SUM(W$339:W341))</f>
        <v>0</v>
      </c>
      <c r="X342" s="151">
        <f ca="1">+MIN('S&amp;U'!$H21-SUM('Phase I Pro Forma'!$E342:W342),'Phase I Pro Forma'!X$336-SUM(X$339:X341))</f>
        <v>0</v>
      </c>
      <c r="Y342" s="151">
        <f ca="1">+MIN('S&amp;U'!$H21-SUM('Phase I Pro Forma'!$E342:X342),'Phase I Pro Forma'!Y$336-SUM(Y$339:Y341))</f>
        <v>0</v>
      </c>
      <c r="Z342" s="151">
        <f ca="1">+MIN('S&amp;U'!$H21-SUM('Phase I Pro Forma'!$E342:Y342),'Phase I Pro Forma'!Z$336-SUM(Z$339:Z341))</f>
        <v>0</v>
      </c>
    </row>
    <row r="343" spans="2:26" x14ac:dyDescent="0.35">
      <c r="B343" s="33" t="s">
        <v>620</v>
      </c>
      <c r="D343" s="48">
        <f t="shared" ref="D343" ca="1" si="613">+SUM(F343:Z343)</f>
        <v>3256330.7674772362</v>
      </c>
      <c r="E343" s="48"/>
      <c r="F343" s="151">
        <f ca="1">+MIN('S&amp;U'!$H22-SUM('Phase I Pro Forma'!$E343:E343),'Phase I Pro Forma'!F$336-SUM(F$339:F342))</f>
        <v>0</v>
      </c>
      <c r="G343" s="151">
        <f ca="1">+MIN('S&amp;U'!$H22-SUM('Phase I Pro Forma'!$E343:F343),'Phase I Pro Forma'!G$336-SUM(G$339:G342))</f>
        <v>0</v>
      </c>
      <c r="H343" s="151">
        <f ca="1">+MIN('S&amp;U'!$H22-SUM('Phase I Pro Forma'!$E343:G343),'Phase I Pro Forma'!H$336-SUM(H$339:H342))</f>
        <v>3256330.7674772362</v>
      </c>
      <c r="I343" s="151">
        <f ca="1">+MIN('S&amp;U'!$H22-SUM('Phase I Pro Forma'!$E343:H343),'Phase I Pro Forma'!I$336-SUM(I$339:I342))</f>
        <v>0</v>
      </c>
      <c r="J343" s="151">
        <f ca="1">+MIN('S&amp;U'!$H22-SUM('Phase I Pro Forma'!$E343:I343),'Phase I Pro Forma'!J$336-SUM(J$339:J342))</f>
        <v>0</v>
      </c>
      <c r="K343" s="151">
        <f ca="1">+MIN('S&amp;U'!$H22-SUM('Phase I Pro Forma'!$E343:J343),'Phase I Pro Forma'!K$336-SUM(K$339:K342))</f>
        <v>0</v>
      </c>
      <c r="L343" s="151">
        <f ca="1">+MIN('S&amp;U'!$H22-SUM('Phase I Pro Forma'!$E343:K343),'Phase I Pro Forma'!L$336-SUM(L$339:L342))</f>
        <v>0</v>
      </c>
      <c r="M343" s="151">
        <f ca="1">+MIN('S&amp;U'!$H22-SUM('Phase I Pro Forma'!$E343:L343),'Phase I Pro Forma'!M$336-SUM(M$339:M342))</f>
        <v>0</v>
      </c>
      <c r="N343" s="151">
        <f ca="1">+MIN('S&amp;U'!$H22-SUM('Phase I Pro Forma'!$E343:M343),'Phase I Pro Forma'!N$336-SUM(N$339:N342))</f>
        <v>0</v>
      </c>
      <c r="O343" s="151">
        <f ca="1">+MIN('S&amp;U'!$H22-SUM('Phase I Pro Forma'!$E343:N343),'Phase I Pro Forma'!O$336-SUM(O$339:O342))</f>
        <v>0</v>
      </c>
      <c r="P343" s="151">
        <f ca="1">+MIN('S&amp;U'!$H22-SUM('Phase I Pro Forma'!$E343:O343),'Phase I Pro Forma'!P$336-SUM(P$339:P342))</f>
        <v>0</v>
      </c>
      <c r="Q343" s="151">
        <f ca="1">+MIN('S&amp;U'!$H22-SUM('Phase I Pro Forma'!$E343:P343),'Phase I Pro Forma'!Q$336-SUM(Q$339:Q342))</f>
        <v>0</v>
      </c>
      <c r="R343" s="151">
        <f ca="1">+MIN('S&amp;U'!$H22-SUM('Phase I Pro Forma'!$E343:Q343),'Phase I Pro Forma'!R$336-SUM(R$339:R342))</f>
        <v>0</v>
      </c>
      <c r="S343" s="151">
        <f ca="1">+MIN('S&amp;U'!$H22-SUM('Phase I Pro Forma'!$E343:R343),'Phase I Pro Forma'!S$336-SUM(S$339:S342))</f>
        <v>0</v>
      </c>
      <c r="T343" s="151">
        <f ca="1">+MIN('S&amp;U'!$H22-SUM('Phase I Pro Forma'!$E343:S343),'Phase I Pro Forma'!T$336-SUM(T$339:T342))</f>
        <v>0</v>
      </c>
      <c r="U343" s="151">
        <f ca="1">+MIN('S&amp;U'!$H22-SUM('Phase I Pro Forma'!$E343:T343),'Phase I Pro Forma'!U$336-SUM(U$339:U342))</f>
        <v>0</v>
      </c>
      <c r="V343" s="151">
        <f ca="1">+MIN('S&amp;U'!$H22-SUM('Phase I Pro Forma'!$E343:U343),'Phase I Pro Forma'!V$336-SUM(V$339:V342))</f>
        <v>0</v>
      </c>
      <c r="W343" s="151">
        <f ca="1">+MIN('S&amp;U'!$H22-SUM('Phase I Pro Forma'!$E343:V343),'Phase I Pro Forma'!W$336-SUM(W$339:W342))</f>
        <v>0</v>
      </c>
      <c r="X343" s="151">
        <f ca="1">+MIN('S&amp;U'!$H22-SUM('Phase I Pro Forma'!$E343:W343),'Phase I Pro Forma'!X$336-SUM(X$339:X342))</f>
        <v>0</v>
      </c>
      <c r="Y343" s="151">
        <f ca="1">+MIN('S&amp;U'!$H22-SUM('Phase I Pro Forma'!$E343:X343),'Phase I Pro Forma'!Y$336-SUM(Y$339:Y342))</f>
        <v>0</v>
      </c>
      <c r="Z343" s="151">
        <f ca="1">+MIN('S&amp;U'!$H22-SUM('Phase I Pro Forma'!$E343:Y343),'Phase I Pro Forma'!Z$336-SUM(Z$339:Z342))</f>
        <v>0</v>
      </c>
    </row>
    <row r="344" spans="2:26" x14ac:dyDescent="0.35">
      <c r="B344" s="33" t="s">
        <v>336</v>
      </c>
      <c r="D344" s="48">
        <f t="shared" si="612"/>
        <v>0</v>
      </c>
      <c r="E344" s="48"/>
      <c r="F344" s="151">
        <v>0</v>
      </c>
      <c r="G344" s="151">
        <v>0</v>
      </c>
      <c r="H344" s="151">
        <v>0</v>
      </c>
      <c r="I344" s="151">
        <v>0</v>
      </c>
      <c r="J344" s="151">
        <v>0</v>
      </c>
      <c r="K344" s="151">
        <v>0</v>
      </c>
      <c r="L344" s="151">
        <v>0</v>
      </c>
      <c r="M344" s="151">
        <v>0</v>
      </c>
      <c r="N344" s="151">
        <v>0</v>
      </c>
      <c r="O344" s="151">
        <v>0</v>
      </c>
      <c r="P344" s="151">
        <v>0</v>
      </c>
      <c r="Q344" s="151">
        <v>0</v>
      </c>
      <c r="R344" s="151">
        <v>0</v>
      </c>
      <c r="S344" s="151">
        <v>0</v>
      </c>
      <c r="T344" s="151">
        <v>0</v>
      </c>
      <c r="U344" s="151">
        <v>0</v>
      </c>
      <c r="V344" s="151">
        <v>0</v>
      </c>
      <c r="W344" s="151">
        <v>0</v>
      </c>
      <c r="X344" s="151">
        <v>0</v>
      </c>
      <c r="Y344" s="151">
        <v>0</v>
      </c>
      <c r="Z344" s="151">
        <v>0</v>
      </c>
    </row>
    <row r="345" spans="2:26" x14ac:dyDescent="0.35">
      <c r="B345" s="33" t="s">
        <v>98</v>
      </c>
      <c r="D345" s="48">
        <f t="shared" ca="1" si="612"/>
        <v>74189767.741794765</v>
      </c>
      <c r="E345" s="48"/>
      <c r="F345" s="151">
        <f ca="1">+MIN('S&amp;U'!$H26-SUM('Phase I Pro Forma'!$E345:E345),'Phase I Pro Forma'!F$336-SUM(F$339:F344))</f>
        <v>0</v>
      </c>
      <c r="G345" s="151">
        <f ca="1">+MIN('S&amp;U'!$H26-SUM('Phase I Pro Forma'!$E345:F345),'Phase I Pro Forma'!G$336-SUM(G$339:G344))</f>
        <v>0</v>
      </c>
      <c r="H345" s="151">
        <f ca="1">+MIN('S&amp;U'!$H26-SUM('Phase I Pro Forma'!$E345:G345),'Phase I Pro Forma'!H$336-SUM(H$339:H344))</f>
        <v>68470187.046282649</v>
      </c>
      <c r="I345" s="151">
        <f ca="1">+MIN('S&amp;U'!$H26-SUM('Phase I Pro Forma'!$E345:H345),'Phase I Pro Forma'!I$336-SUM(I$339:I344))</f>
        <v>2859790.3477560584</v>
      </c>
      <c r="J345" s="151">
        <f ca="1">+MIN('S&amp;U'!$H26-SUM('Phase I Pro Forma'!$E345:I345),'Phase I Pro Forma'!J$336-SUM(J$339:J344))</f>
        <v>2859790.3477560584</v>
      </c>
      <c r="K345" s="151">
        <f ca="1">+MIN('S&amp;U'!$H26-SUM('Phase I Pro Forma'!$E345:J345),'Phase I Pro Forma'!K$336-SUM(K$339:K344))</f>
        <v>0</v>
      </c>
      <c r="L345" s="151">
        <f ca="1">+MIN('S&amp;U'!$H26-SUM('Phase I Pro Forma'!$E345:K345),'Phase I Pro Forma'!L$336-SUM(L$339:L344))</f>
        <v>0</v>
      </c>
      <c r="M345" s="151">
        <f ca="1">+MIN('S&amp;U'!$H26-SUM('Phase I Pro Forma'!$E345:L345),'Phase I Pro Forma'!M$336-SUM(M$339:M344))</f>
        <v>0</v>
      </c>
      <c r="N345" s="151">
        <f ca="1">+MIN('S&amp;U'!$H26-SUM('Phase I Pro Forma'!$E345:M345),'Phase I Pro Forma'!N$336-SUM(N$339:N344))</f>
        <v>0</v>
      </c>
      <c r="O345" s="151">
        <f ca="1">+MIN('S&amp;U'!$H26-SUM('Phase I Pro Forma'!$E345:N345),'Phase I Pro Forma'!O$336-SUM(O$339:O344))</f>
        <v>0</v>
      </c>
      <c r="P345" s="151">
        <f ca="1">+MIN('S&amp;U'!$H26-SUM('Phase I Pro Forma'!$E345:O345),'Phase I Pro Forma'!P$336-SUM(P$339:P344))</f>
        <v>0</v>
      </c>
      <c r="Q345" s="151">
        <f ca="1">+MIN('S&amp;U'!$H26-SUM('Phase I Pro Forma'!$E345:P345),'Phase I Pro Forma'!Q$336-SUM(Q$339:Q344))</f>
        <v>0</v>
      </c>
      <c r="R345" s="151">
        <f ca="1">+MIN('S&amp;U'!$H26-SUM('Phase I Pro Forma'!$E345:Q345),'Phase I Pro Forma'!R$336-SUM(R$339:R344))</f>
        <v>0</v>
      </c>
      <c r="S345" s="151">
        <f ca="1">+MIN('S&amp;U'!$H26-SUM('Phase I Pro Forma'!$E345:R345),'Phase I Pro Forma'!S$336-SUM(S$339:S344))</f>
        <v>0</v>
      </c>
      <c r="T345" s="151">
        <f ca="1">+MIN('S&amp;U'!$H26-SUM('Phase I Pro Forma'!$E345:S345),'Phase I Pro Forma'!T$336-SUM(T$339:T344))</f>
        <v>0</v>
      </c>
      <c r="U345" s="151">
        <f ca="1">+MIN('S&amp;U'!$H26-SUM('Phase I Pro Forma'!$E345:T345),'Phase I Pro Forma'!U$336-SUM(U$339:U344))</f>
        <v>0</v>
      </c>
      <c r="V345" s="151">
        <f ca="1">+MIN('S&amp;U'!$H26-SUM('Phase I Pro Forma'!$E345:U345),'Phase I Pro Forma'!V$336-SUM(V$339:V344))</f>
        <v>0</v>
      </c>
      <c r="W345" s="151">
        <f ca="1">+MIN('S&amp;U'!$H26-SUM('Phase I Pro Forma'!$E345:V345),'Phase I Pro Forma'!W$336-SUM(W$339:W344))</f>
        <v>0</v>
      </c>
      <c r="X345" s="151">
        <f ca="1">+MIN('S&amp;U'!$H26-SUM('Phase I Pro Forma'!$E345:W345),'Phase I Pro Forma'!X$336-SUM(X$339:X344))</f>
        <v>0</v>
      </c>
      <c r="Y345" s="151">
        <f ca="1">+MIN('S&amp;U'!$H26-SUM('Phase I Pro Forma'!$E345:X345),'Phase I Pro Forma'!Y$336-SUM(Y$339:Y344))</f>
        <v>0</v>
      </c>
      <c r="Z345" s="151">
        <f ca="1">+MIN('S&amp;U'!$H26-SUM('Phase I Pro Forma'!$E345:Y345),'Phase I Pro Forma'!Z$336-SUM(Z$339:Z344))</f>
        <v>0</v>
      </c>
    </row>
    <row r="346" spans="2:26" x14ac:dyDescent="0.35">
      <c r="B346" s="138" t="s">
        <v>383</v>
      </c>
      <c r="C346" s="138"/>
      <c r="D346" s="139">
        <f t="shared" ca="1" si="612"/>
        <v>371479831.44846803</v>
      </c>
      <c r="E346" s="139"/>
      <c r="F346" s="139">
        <f t="shared" ref="F346:Z346" ca="1" si="614">+SUM(F339:F345)</f>
        <v>51495790.787373006</v>
      </c>
      <c r="G346" s="139">
        <f t="shared" ca="1" si="614"/>
        <v>157132229.98279142</v>
      </c>
      <c r="H346" s="139">
        <f t="shared" ca="1" si="614"/>
        <v>157132229.98279142</v>
      </c>
      <c r="I346" s="139">
        <f t="shared" ca="1" si="614"/>
        <v>2859790.3477560584</v>
      </c>
      <c r="J346" s="139">
        <f t="shared" ca="1" si="614"/>
        <v>2859790.3477560584</v>
      </c>
      <c r="K346" s="139">
        <f t="shared" ca="1" si="614"/>
        <v>0</v>
      </c>
      <c r="L346" s="139">
        <f t="shared" ca="1" si="614"/>
        <v>0</v>
      </c>
      <c r="M346" s="139">
        <f t="shared" ca="1" si="614"/>
        <v>0</v>
      </c>
      <c r="N346" s="139">
        <f t="shared" ca="1" si="614"/>
        <v>0</v>
      </c>
      <c r="O346" s="139">
        <f t="shared" ca="1" si="614"/>
        <v>0</v>
      </c>
      <c r="P346" s="139">
        <f t="shared" ca="1" si="614"/>
        <v>0</v>
      </c>
      <c r="Q346" s="139">
        <f t="shared" ca="1" si="614"/>
        <v>0</v>
      </c>
      <c r="R346" s="139">
        <f t="shared" ca="1" si="614"/>
        <v>0</v>
      </c>
      <c r="S346" s="139">
        <f t="shared" ca="1" si="614"/>
        <v>0</v>
      </c>
      <c r="T346" s="139">
        <f t="shared" ca="1" si="614"/>
        <v>0</v>
      </c>
      <c r="U346" s="139">
        <f t="shared" ca="1" si="614"/>
        <v>0</v>
      </c>
      <c r="V346" s="139">
        <f t="shared" ca="1" si="614"/>
        <v>0</v>
      </c>
      <c r="W346" s="139">
        <f t="shared" ca="1" si="614"/>
        <v>0</v>
      </c>
      <c r="X346" s="139">
        <f t="shared" ca="1" si="614"/>
        <v>0</v>
      </c>
      <c r="Y346" s="139">
        <f t="shared" ca="1" si="614"/>
        <v>0</v>
      </c>
      <c r="Z346" s="139">
        <f t="shared" ca="1" si="614"/>
        <v>0</v>
      </c>
    </row>
    <row r="348" spans="2:26" x14ac:dyDescent="0.35">
      <c r="B348" s="148" t="s">
        <v>354</v>
      </c>
    </row>
    <row r="349" spans="2:26" x14ac:dyDescent="0.35">
      <c r="B349" s="33" t="s">
        <v>355</v>
      </c>
      <c r="D349" s="48">
        <f ca="1">+SUM(F349:Z349)</f>
        <v>-275780966.54923189</v>
      </c>
      <c r="E349" s="48"/>
      <c r="F349" s="34">
        <f ca="1">-F339</f>
        <v>-51495790.787373006</v>
      </c>
      <c r="G349" s="34">
        <f t="shared" ref="G349:Z349" ca="1" si="615">-G339</f>
        <v>-157132229.98279142</v>
      </c>
      <c r="H349" s="34">
        <f t="shared" ca="1" si="615"/>
        <v>-67152945.779067457</v>
      </c>
      <c r="I349" s="34">
        <f t="shared" ca="1" si="615"/>
        <v>0</v>
      </c>
      <c r="J349" s="34">
        <f t="shared" ca="1" si="615"/>
        <v>0</v>
      </c>
      <c r="K349" s="34">
        <f t="shared" ca="1" si="615"/>
        <v>0</v>
      </c>
      <c r="L349" s="34">
        <f t="shared" ca="1" si="615"/>
        <v>0</v>
      </c>
      <c r="M349" s="34">
        <f t="shared" ca="1" si="615"/>
        <v>0</v>
      </c>
      <c r="N349" s="34">
        <f t="shared" ca="1" si="615"/>
        <v>0</v>
      </c>
      <c r="O349" s="34">
        <f t="shared" ca="1" si="615"/>
        <v>0</v>
      </c>
      <c r="P349" s="34">
        <f t="shared" ca="1" si="615"/>
        <v>0</v>
      </c>
      <c r="Q349" s="34">
        <f t="shared" ca="1" si="615"/>
        <v>0</v>
      </c>
      <c r="R349" s="34">
        <f t="shared" ca="1" si="615"/>
        <v>0</v>
      </c>
      <c r="S349" s="34">
        <f t="shared" ca="1" si="615"/>
        <v>0</v>
      </c>
      <c r="T349" s="34">
        <f t="shared" ca="1" si="615"/>
        <v>0</v>
      </c>
      <c r="U349" s="34">
        <f t="shared" ca="1" si="615"/>
        <v>0</v>
      </c>
      <c r="V349" s="34">
        <f t="shared" ca="1" si="615"/>
        <v>0</v>
      </c>
      <c r="W349" s="34">
        <f t="shared" ca="1" si="615"/>
        <v>0</v>
      </c>
      <c r="X349" s="34">
        <f t="shared" ca="1" si="615"/>
        <v>0</v>
      </c>
      <c r="Y349" s="34">
        <f t="shared" ca="1" si="615"/>
        <v>0</v>
      </c>
      <c r="Z349" s="34">
        <f t="shared" ca="1" si="615"/>
        <v>0</v>
      </c>
    </row>
    <row r="350" spans="2:26" x14ac:dyDescent="0.35">
      <c r="B350" s="33" t="s">
        <v>356</v>
      </c>
      <c r="D350" s="48">
        <f t="shared" ref="D350" ca="1" si="616">+SUM(F350:Z350)</f>
        <v>663498607.83673298</v>
      </c>
      <c r="E350" s="48"/>
      <c r="F350" s="151">
        <f ca="1">+IF(YEAR(F$140)&lt;=YEAR(Assumptions!$F$30),F321+F326,0)</f>
        <v>0</v>
      </c>
      <c r="G350" s="151">
        <f ca="1">+IF(YEAR(G$140)&lt;=YEAR(Assumptions!$F$30),G321+G326,0)</f>
        <v>0</v>
      </c>
      <c r="H350" s="151">
        <f ca="1">+IF(YEAR(H$140)&lt;=YEAR(Assumptions!$F$30),H321+H326,0)</f>
        <v>0</v>
      </c>
      <c r="I350" s="151">
        <f ca="1">+IF(YEAR(I$140)&lt;=YEAR(Assumptions!$F$30),I321+I326,0)</f>
        <v>12156531.919531263</v>
      </c>
      <c r="J350" s="151">
        <f ca="1">+IF(YEAR(J$140)&lt;=YEAR(Assumptions!$F$30),J321+J326,0)</f>
        <v>25299756.984119631</v>
      </c>
      <c r="K350" s="151">
        <f ca="1">+IF(YEAR(K$140)&lt;=YEAR(Assumptions!$F$30),K321+K326,0)</f>
        <v>25918223.302751362</v>
      </c>
      <c r="L350" s="151">
        <f ca="1">+IF(YEAR(L$140)&lt;=YEAR(Assumptions!$F$30),L321+L326,0)</f>
        <v>27699751.454203915</v>
      </c>
      <c r="M350" s="151">
        <f ca="1">+IF(YEAR(M$140)&lt;=YEAR(Assumptions!$F$30),M321+M326,0)</f>
        <v>28026377.681195293</v>
      </c>
      <c r="N350" s="151">
        <f ca="1">+IF(YEAR(N$140)&lt;=YEAR(Assumptions!$F$30),N321+N326,0)</f>
        <v>28470939.905564785</v>
      </c>
      <c r="O350" s="151">
        <f ca="1">+IF(YEAR(O$140)&lt;=YEAR(Assumptions!$F$30),O321+O326,0)</f>
        <v>28926898.728953872</v>
      </c>
      <c r="P350" s="151">
        <f ca="1">+IF(YEAR(P$140)&lt;=YEAR(Assumptions!$F$30),P321+P326,0)</f>
        <v>487000127.8604129</v>
      </c>
      <c r="Q350" s="151">
        <f>+IF(YEAR(Q$140)&lt;=YEAR(Assumptions!$F$30),Q321+Q326,0)</f>
        <v>0</v>
      </c>
      <c r="R350" s="151">
        <f>+IF(YEAR(R$140)&lt;=YEAR(Assumptions!$F$30),R321+R326,0)</f>
        <v>0</v>
      </c>
      <c r="S350" s="151">
        <f>+IF(YEAR(S$140)&lt;=YEAR(Assumptions!$F$30),S321+S326,0)</f>
        <v>0</v>
      </c>
      <c r="T350" s="151">
        <f>+IF(YEAR(T$140)&lt;=YEAR(Assumptions!$F$30),T321+T326,0)</f>
        <v>0</v>
      </c>
      <c r="U350" s="151">
        <f>+IF(YEAR(U$140)&lt;=YEAR(Assumptions!$F$30),U321+U326,0)</f>
        <v>0</v>
      </c>
      <c r="V350" s="151">
        <f>+IF(YEAR(V$140)&lt;=YEAR(Assumptions!$F$30),V321+V326,0)</f>
        <v>0</v>
      </c>
      <c r="W350" s="151">
        <f>+IF(YEAR(W$140)&lt;=YEAR(Assumptions!$F$30),W321+W326,0)</f>
        <v>0</v>
      </c>
      <c r="X350" s="151">
        <f>+IF(YEAR(X$140)&lt;=YEAR(Assumptions!$F$30),X321+X326,0)</f>
        <v>0</v>
      </c>
      <c r="Y350" s="151">
        <f>+IF(YEAR(Y$140)&lt;=YEAR(Assumptions!$F$30),Y321+Y326,0)</f>
        <v>0</v>
      </c>
      <c r="Z350" s="151">
        <f>+IF(YEAR(Z$140)&lt;=YEAR(Assumptions!$F$30),Z321+Z326,0)</f>
        <v>0</v>
      </c>
    </row>
    <row r="351" spans="2:26" x14ac:dyDescent="0.35">
      <c r="B351" s="138" t="s">
        <v>357</v>
      </c>
      <c r="C351" s="138"/>
      <c r="D351" s="139">
        <f ca="1">+SUM(F351:Z351)</f>
        <v>387717641.2875011</v>
      </c>
      <c r="E351" s="139"/>
      <c r="F351" s="139">
        <f ca="1">+SUM(F349:F350)</f>
        <v>-51495790.787373006</v>
      </c>
      <c r="G351" s="139">
        <f t="shared" ref="G351:Z351" ca="1" si="617">+SUM(G349:G350)</f>
        <v>-157132229.98279142</v>
      </c>
      <c r="H351" s="139">
        <f t="shared" ca="1" si="617"/>
        <v>-67152945.779067457</v>
      </c>
      <c r="I351" s="139">
        <f t="shared" ca="1" si="617"/>
        <v>12156531.919531263</v>
      </c>
      <c r="J351" s="139">
        <f t="shared" ca="1" si="617"/>
        <v>25299756.984119631</v>
      </c>
      <c r="K351" s="139">
        <f t="shared" ca="1" si="617"/>
        <v>25918223.302751362</v>
      </c>
      <c r="L351" s="139">
        <f t="shared" ca="1" si="617"/>
        <v>27699751.454203915</v>
      </c>
      <c r="M351" s="139">
        <f t="shared" ca="1" si="617"/>
        <v>28026377.681195293</v>
      </c>
      <c r="N351" s="139">
        <f t="shared" ca="1" si="617"/>
        <v>28470939.905564785</v>
      </c>
      <c r="O351" s="139">
        <f t="shared" ca="1" si="617"/>
        <v>28926898.728953872</v>
      </c>
      <c r="P351" s="139">
        <f t="shared" ca="1" si="617"/>
        <v>487000127.8604129</v>
      </c>
      <c r="Q351" s="139">
        <f t="shared" ca="1" si="617"/>
        <v>0</v>
      </c>
      <c r="R351" s="139">
        <f t="shared" ca="1" si="617"/>
        <v>0</v>
      </c>
      <c r="S351" s="139">
        <f t="shared" ca="1" si="617"/>
        <v>0</v>
      </c>
      <c r="T351" s="139">
        <f t="shared" ca="1" si="617"/>
        <v>0</v>
      </c>
      <c r="U351" s="139">
        <f t="shared" ca="1" si="617"/>
        <v>0</v>
      </c>
      <c r="V351" s="139">
        <f t="shared" ca="1" si="617"/>
        <v>0</v>
      </c>
      <c r="W351" s="139">
        <f t="shared" ca="1" si="617"/>
        <v>0</v>
      </c>
      <c r="X351" s="139">
        <f t="shared" ca="1" si="617"/>
        <v>0</v>
      </c>
      <c r="Y351" s="139">
        <f t="shared" ca="1" si="617"/>
        <v>0</v>
      </c>
      <c r="Z351" s="139">
        <f t="shared" ca="1" si="617"/>
        <v>0</v>
      </c>
    </row>
    <row r="353" spans="2:26" x14ac:dyDescent="0.35">
      <c r="B353" s="190" t="s">
        <v>399</v>
      </c>
      <c r="C353" s="190"/>
      <c r="D353" s="191">
        <f ca="1">+IRR(F351:Z351)</f>
        <v>0.11972944419183973</v>
      </c>
    </row>
    <row r="354" spans="2:26" x14ac:dyDescent="0.35">
      <c r="B354" s="141" t="s">
        <v>359</v>
      </c>
      <c r="C354" s="192"/>
      <c r="D354" s="142">
        <f ca="1">+SUM(F351:Z351)</f>
        <v>387717641.2875011</v>
      </c>
    </row>
    <row r="355" spans="2:26" x14ac:dyDescent="0.35">
      <c r="B355" s="194" t="s">
        <v>360</v>
      </c>
      <c r="C355" s="193"/>
      <c r="D355" s="195">
        <f ca="1">+D350/-D349</f>
        <v>2.4058897760019509</v>
      </c>
    </row>
    <row r="357" spans="2:26" x14ac:dyDescent="0.35">
      <c r="B357" s="37" t="s">
        <v>417</v>
      </c>
      <c r="C357" s="38"/>
      <c r="D357" s="38"/>
      <c r="E357" s="38"/>
      <c r="F357" s="136">
        <f>+F338</f>
        <v>44196</v>
      </c>
      <c r="G357" s="136">
        <f t="shared" ref="G357:Z357" si="618">+G338</f>
        <v>44561</v>
      </c>
      <c r="H357" s="136">
        <f t="shared" si="618"/>
        <v>44926</v>
      </c>
      <c r="I357" s="136">
        <f t="shared" si="618"/>
        <v>45291</v>
      </c>
      <c r="J357" s="136">
        <f t="shared" si="618"/>
        <v>45657</v>
      </c>
      <c r="K357" s="136">
        <f t="shared" si="618"/>
        <v>46022</v>
      </c>
      <c r="L357" s="136">
        <f t="shared" si="618"/>
        <v>46387</v>
      </c>
      <c r="M357" s="136">
        <f t="shared" si="618"/>
        <v>46752</v>
      </c>
      <c r="N357" s="136">
        <f t="shared" si="618"/>
        <v>47118</v>
      </c>
      <c r="O357" s="136">
        <f t="shared" si="618"/>
        <v>47483</v>
      </c>
      <c r="P357" s="136">
        <f t="shared" si="618"/>
        <v>47848</v>
      </c>
      <c r="Q357" s="136">
        <f t="shared" si="618"/>
        <v>48213</v>
      </c>
      <c r="R357" s="136">
        <f t="shared" si="618"/>
        <v>48579</v>
      </c>
      <c r="S357" s="136">
        <f t="shared" si="618"/>
        <v>48944</v>
      </c>
      <c r="T357" s="136">
        <f t="shared" si="618"/>
        <v>49309</v>
      </c>
      <c r="U357" s="136">
        <f t="shared" si="618"/>
        <v>49674</v>
      </c>
      <c r="V357" s="136">
        <f t="shared" si="618"/>
        <v>50040</v>
      </c>
      <c r="W357" s="136">
        <f t="shared" si="618"/>
        <v>50405</v>
      </c>
      <c r="X357" s="136">
        <f t="shared" si="618"/>
        <v>50770</v>
      </c>
      <c r="Y357" s="136">
        <f t="shared" si="618"/>
        <v>51135</v>
      </c>
      <c r="Z357" s="136">
        <f t="shared" si="618"/>
        <v>51501</v>
      </c>
    </row>
    <row r="358" spans="2:26" x14ac:dyDescent="0.35">
      <c r="B358" s="119"/>
    </row>
    <row r="359" spans="2:26" x14ac:dyDescent="0.35">
      <c r="B359" s="148" t="s">
        <v>413</v>
      </c>
      <c r="F359" s="148">
        <v>0</v>
      </c>
      <c r="G359" s="148">
        <f>+F359+1</f>
        <v>1</v>
      </c>
      <c r="H359" s="148">
        <f t="shared" ref="H359:Z359" si="619">+G359+1</f>
        <v>2</v>
      </c>
      <c r="I359" s="148">
        <f t="shared" si="619"/>
        <v>3</v>
      </c>
      <c r="J359" s="148">
        <f t="shared" si="619"/>
        <v>4</v>
      </c>
      <c r="K359" s="148">
        <f t="shared" si="619"/>
        <v>5</v>
      </c>
      <c r="L359" s="148">
        <f t="shared" si="619"/>
        <v>6</v>
      </c>
      <c r="M359" s="148">
        <f t="shared" si="619"/>
        <v>7</v>
      </c>
      <c r="N359" s="148">
        <f t="shared" si="619"/>
        <v>8</v>
      </c>
      <c r="O359" s="148">
        <f t="shared" si="619"/>
        <v>9</v>
      </c>
      <c r="P359" s="148">
        <f t="shared" si="619"/>
        <v>10</v>
      </c>
      <c r="Q359" s="148">
        <f t="shared" si="619"/>
        <v>11</v>
      </c>
      <c r="R359" s="148">
        <f t="shared" si="619"/>
        <v>12</v>
      </c>
      <c r="S359" s="148">
        <f t="shared" si="619"/>
        <v>13</v>
      </c>
      <c r="T359" s="148">
        <f t="shared" si="619"/>
        <v>14</v>
      </c>
      <c r="U359" s="148">
        <f t="shared" si="619"/>
        <v>15</v>
      </c>
      <c r="V359" s="148">
        <f t="shared" si="619"/>
        <v>16</v>
      </c>
      <c r="W359" s="148">
        <f t="shared" si="619"/>
        <v>17</v>
      </c>
      <c r="X359" s="148">
        <f t="shared" si="619"/>
        <v>18</v>
      </c>
      <c r="Y359" s="148">
        <f t="shared" si="619"/>
        <v>19</v>
      </c>
      <c r="Z359" s="148">
        <f t="shared" si="619"/>
        <v>20</v>
      </c>
    </row>
    <row r="360" spans="2:26" x14ac:dyDescent="0.35">
      <c r="B360" s="33" t="s">
        <v>404</v>
      </c>
      <c r="D360" s="48"/>
      <c r="E360" s="48"/>
      <c r="F360" s="34">
        <f ca="1">+F$349</f>
        <v>-51495790.787373006</v>
      </c>
      <c r="G360" s="34">
        <f t="shared" ref="G360:Z360" ca="1" si="620">+G$349</f>
        <v>-157132229.98279142</v>
      </c>
      <c r="H360" s="34">
        <f t="shared" ca="1" si="620"/>
        <v>-67152945.779067457</v>
      </c>
      <c r="I360" s="34">
        <f t="shared" ca="1" si="620"/>
        <v>0</v>
      </c>
      <c r="J360" s="34">
        <f t="shared" ca="1" si="620"/>
        <v>0</v>
      </c>
      <c r="K360" s="34">
        <f t="shared" ca="1" si="620"/>
        <v>0</v>
      </c>
      <c r="L360" s="34">
        <f t="shared" ca="1" si="620"/>
        <v>0</v>
      </c>
      <c r="M360" s="34">
        <f t="shared" ca="1" si="620"/>
        <v>0</v>
      </c>
      <c r="N360" s="34">
        <f t="shared" ca="1" si="620"/>
        <v>0</v>
      </c>
      <c r="O360" s="34">
        <f t="shared" ca="1" si="620"/>
        <v>0</v>
      </c>
      <c r="P360" s="34">
        <f t="shared" ca="1" si="620"/>
        <v>0</v>
      </c>
      <c r="Q360" s="34">
        <f t="shared" ca="1" si="620"/>
        <v>0</v>
      </c>
      <c r="R360" s="34">
        <f t="shared" ca="1" si="620"/>
        <v>0</v>
      </c>
      <c r="S360" s="34">
        <f t="shared" ca="1" si="620"/>
        <v>0</v>
      </c>
      <c r="T360" s="34">
        <f t="shared" ca="1" si="620"/>
        <v>0</v>
      </c>
      <c r="U360" s="34">
        <f t="shared" ca="1" si="620"/>
        <v>0</v>
      </c>
      <c r="V360" s="34">
        <f t="shared" ca="1" si="620"/>
        <v>0</v>
      </c>
      <c r="W360" s="34">
        <f t="shared" ca="1" si="620"/>
        <v>0</v>
      </c>
      <c r="X360" s="34">
        <f t="shared" ca="1" si="620"/>
        <v>0</v>
      </c>
      <c r="Y360" s="34">
        <f t="shared" ca="1" si="620"/>
        <v>0</v>
      </c>
      <c r="Z360" s="34">
        <f t="shared" ca="1" si="620"/>
        <v>0</v>
      </c>
    </row>
    <row r="361" spans="2:26" x14ac:dyDescent="0.35">
      <c r="B361" s="33" t="s">
        <v>422</v>
      </c>
      <c r="D361" s="48"/>
      <c r="E361" s="48"/>
      <c r="F361" s="151">
        <v>0</v>
      </c>
      <c r="G361" s="151">
        <v>0</v>
      </c>
      <c r="H361" s="151">
        <v>0</v>
      </c>
      <c r="I361" s="151">
        <v>0</v>
      </c>
      <c r="J361" s="151">
        <v>0</v>
      </c>
      <c r="K361" s="151">
        <v>0</v>
      </c>
      <c r="L361" s="151">
        <v>0</v>
      </c>
      <c r="M361" s="151">
        <v>0</v>
      </c>
      <c r="N361" s="151">
        <v>0</v>
      </c>
      <c r="O361" s="151">
        <v>0</v>
      </c>
      <c r="P361" s="151">
        <v>0</v>
      </c>
      <c r="Q361" s="151">
        <v>0</v>
      </c>
      <c r="R361" s="151">
        <v>0</v>
      </c>
      <c r="S361" s="151">
        <v>0</v>
      </c>
      <c r="T361" s="151">
        <v>0</v>
      </c>
      <c r="U361" s="151">
        <v>0</v>
      </c>
      <c r="V361" s="151">
        <v>0</v>
      </c>
      <c r="W361" s="151">
        <v>0</v>
      </c>
      <c r="X361" s="151">
        <v>0</v>
      </c>
      <c r="Y361" s="151">
        <v>0</v>
      </c>
      <c r="Z361" s="151">
        <v>0</v>
      </c>
    </row>
    <row r="362" spans="2:26" x14ac:dyDescent="0.35">
      <c r="B362" s="33" t="s">
        <v>423</v>
      </c>
      <c r="D362" s="48"/>
      <c r="E362" s="48"/>
      <c r="F362" s="151">
        <v>0</v>
      </c>
      <c r="G362" s="151">
        <v>0</v>
      </c>
      <c r="H362" s="151">
        <v>0</v>
      </c>
      <c r="I362" s="151">
        <v>0</v>
      </c>
      <c r="J362" s="151">
        <v>0</v>
      </c>
      <c r="K362" s="151">
        <v>0</v>
      </c>
      <c r="L362" s="151">
        <v>0</v>
      </c>
      <c r="M362" s="151">
        <v>0</v>
      </c>
      <c r="N362" s="151">
        <v>0</v>
      </c>
      <c r="O362" s="151">
        <v>0</v>
      </c>
      <c r="P362" s="151">
        <v>0</v>
      </c>
      <c r="Q362" s="151">
        <v>0</v>
      </c>
      <c r="R362" s="151">
        <v>0</v>
      </c>
      <c r="S362" s="151">
        <v>0</v>
      </c>
      <c r="T362" s="151">
        <v>0</v>
      </c>
      <c r="U362" s="151">
        <v>0</v>
      </c>
      <c r="V362" s="151">
        <v>0</v>
      </c>
      <c r="W362" s="151">
        <v>0</v>
      </c>
      <c r="X362" s="151">
        <v>0</v>
      </c>
      <c r="Y362" s="151">
        <v>0</v>
      </c>
      <c r="Z362" s="151">
        <v>0</v>
      </c>
    </row>
    <row r="363" spans="2:26" x14ac:dyDescent="0.35">
      <c r="B363" s="33" t="s">
        <v>414</v>
      </c>
      <c r="D363" s="48"/>
      <c r="E363" s="48"/>
      <c r="F363" s="151">
        <f ca="1">-SUM(F390:F391)*Assumptions!$M$192</f>
        <v>0</v>
      </c>
      <c r="G363" s="151">
        <f ca="1">-SUM(G390:G391)*Assumptions!$M$192</f>
        <v>0</v>
      </c>
      <c r="H363" s="151">
        <f ca="1">-SUM(H390:H391)*Assumptions!$M$192</f>
        <v>0</v>
      </c>
      <c r="I363" s="151">
        <f ca="1">-SUM(I390:I391)*Assumptions!$M$192</f>
        <v>-2552871.7031015651</v>
      </c>
      <c r="J363" s="151">
        <f ca="1">-SUM(J390:J391)*Assumptions!$M$192</f>
        <v>-2871483.2113404754</v>
      </c>
      <c r="K363" s="151">
        <f ca="1">-SUM(K390:K391)*Assumptions!$M$192</f>
        <v>-3001361.1382531389</v>
      </c>
      <c r="L363" s="151">
        <f ca="1">-SUM(L390:L391)*Assumptions!$M$192</f>
        <v>-3375482.0500581749</v>
      </c>
      <c r="M363" s="151">
        <f ca="1">-SUM(M390:M391)*Assumptions!$M$192</f>
        <v>-3444073.5577263646</v>
      </c>
      <c r="N363" s="151">
        <f ca="1">-SUM(N390:N391)*Assumptions!$M$192</f>
        <v>-3537431.6248439578</v>
      </c>
      <c r="O363" s="151">
        <f ca="1">-SUM(O390:O391)*Assumptions!$M$192</f>
        <v>-3633182.9777556662</v>
      </c>
      <c r="P363" s="151">
        <f ca="1">-SUM(P390:P391)*Assumptions!$M$192</f>
        <v>-3708507.3370534903</v>
      </c>
      <c r="Q363" s="151">
        <f>-SUM(Q390:Q391)*Assumptions!$M$192</f>
        <v>0</v>
      </c>
      <c r="R363" s="151">
        <f>-SUM(R390:R391)*Assumptions!$M$192</f>
        <v>0</v>
      </c>
      <c r="S363" s="151">
        <f>-SUM(S390:S391)*Assumptions!$M$192</f>
        <v>0</v>
      </c>
      <c r="T363" s="151">
        <f>-SUM(T390:T391)*Assumptions!$M$192</f>
        <v>0</v>
      </c>
      <c r="U363" s="151">
        <f>-SUM(U390:U391)*Assumptions!$M$192</f>
        <v>0</v>
      </c>
      <c r="V363" s="151">
        <f>-SUM(V390:V391)*Assumptions!$M$192</f>
        <v>0</v>
      </c>
      <c r="W363" s="151">
        <f>-SUM(W390:W391)*Assumptions!$M$192</f>
        <v>0</v>
      </c>
      <c r="X363" s="151">
        <f>-SUM(X390:X391)*Assumptions!$M$192</f>
        <v>0</v>
      </c>
      <c r="Y363" s="151">
        <f>-SUM(Y390:Y391)*Assumptions!$M$192</f>
        <v>0</v>
      </c>
      <c r="Z363" s="151">
        <f>-SUM(Z390:Z391)*Assumptions!$M$192</f>
        <v>0</v>
      </c>
    </row>
    <row r="364" spans="2:26" x14ac:dyDescent="0.35">
      <c r="B364" s="33" t="s">
        <v>415</v>
      </c>
      <c r="D364" s="48"/>
      <c r="E364" s="48"/>
      <c r="F364" s="151">
        <f ca="1">+IF(YEAR(F$140)&lt;=YEAR(Assumptions!$F$30),F321,0)</f>
        <v>0</v>
      </c>
      <c r="G364" s="151">
        <f ca="1">+IF(YEAR(G$140)&lt;=YEAR(Assumptions!$F$30),G321,0)</f>
        <v>0</v>
      </c>
      <c r="H364" s="151">
        <f ca="1">+IF(YEAR(H$140)&lt;=YEAR(Assumptions!$F$30),H321,0)</f>
        <v>0</v>
      </c>
      <c r="I364" s="151">
        <f ca="1">+IF(YEAR(I$140)&lt;=YEAR(Assumptions!$F$30),I321,0)</f>
        <v>12156531.919531263</v>
      </c>
      <c r="J364" s="151">
        <f ca="1">+IF(YEAR(J$140)&lt;=YEAR(Assumptions!$F$30),J321,0)</f>
        <v>25299756.984119631</v>
      </c>
      <c r="K364" s="151">
        <f ca="1">+IF(YEAR(K$140)&lt;=YEAR(Assumptions!$F$30),K321,0)</f>
        <v>25918223.302751362</v>
      </c>
      <c r="L364" s="151">
        <f ca="1">+IF(YEAR(L$140)&lt;=YEAR(Assumptions!$F$30),L321,0)</f>
        <v>27699751.454203915</v>
      </c>
      <c r="M364" s="151">
        <f ca="1">+IF(YEAR(M$140)&lt;=YEAR(Assumptions!$F$30),M321,0)</f>
        <v>28026377.681195293</v>
      </c>
      <c r="N364" s="151">
        <f ca="1">+IF(YEAR(N$140)&lt;=YEAR(Assumptions!$F$30),N321,0)</f>
        <v>28470939.905564785</v>
      </c>
      <c r="O364" s="151">
        <f ca="1">+IF(YEAR(O$140)&lt;=YEAR(Assumptions!$F$30),O321,0)</f>
        <v>28926898.728953872</v>
      </c>
      <c r="P364" s="151">
        <f ca="1">+IF(YEAR(P$140)&lt;=YEAR(Assumptions!$F$30),P321,0)</f>
        <v>29285586.154181607</v>
      </c>
      <c r="Q364" s="151">
        <f>+IF(YEAR(Q$140)&lt;=YEAR(Assumptions!$F$30),Q321,0)</f>
        <v>0</v>
      </c>
      <c r="R364" s="151">
        <f>+IF(YEAR(R$140)&lt;=YEAR(Assumptions!$F$30),R321,0)</f>
        <v>0</v>
      </c>
      <c r="S364" s="151">
        <f>+IF(YEAR(S$140)&lt;=YEAR(Assumptions!$F$30),S321,0)</f>
        <v>0</v>
      </c>
      <c r="T364" s="151">
        <f>+IF(YEAR(T$140)&lt;=YEAR(Assumptions!$F$30),T321,0)</f>
        <v>0</v>
      </c>
      <c r="U364" s="151">
        <f>+IF(YEAR(U$140)&lt;=YEAR(Assumptions!$F$30),U321,0)</f>
        <v>0</v>
      </c>
      <c r="V364" s="151">
        <f>+IF(YEAR(V$140)&lt;=YEAR(Assumptions!$F$30),V321,0)</f>
        <v>0</v>
      </c>
      <c r="W364" s="151">
        <f>+IF(YEAR(W$140)&lt;=YEAR(Assumptions!$F$30),W321,0)</f>
        <v>0</v>
      </c>
      <c r="X364" s="151">
        <f>+IF(YEAR(X$140)&lt;=YEAR(Assumptions!$F$30),X321,0)</f>
        <v>0</v>
      </c>
      <c r="Y364" s="151">
        <f>+IF(YEAR(Y$140)&lt;=YEAR(Assumptions!$F$30),Y321,0)</f>
        <v>0</v>
      </c>
      <c r="Z364" s="151">
        <f>+IF(YEAR(Z$140)&lt;=YEAR(Assumptions!$F$30),Z321,0)</f>
        <v>0</v>
      </c>
    </row>
    <row r="365" spans="2:26" x14ac:dyDescent="0.35">
      <c r="B365" s="33" t="s">
        <v>409</v>
      </c>
      <c r="D365" s="48"/>
      <c r="E365" s="48"/>
      <c r="F365" s="151">
        <f>+IF(YEAR(F$140)&lt;=YEAR(Assumptions!$F$30),F326,0)</f>
        <v>0</v>
      </c>
      <c r="G365" s="151">
        <f>+IF(YEAR(G$140)&lt;=YEAR(Assumptions!$F$30),G326,0)</f>
        <v>0</v>
      </c>
      <c r="H365" s="151">
        <f>+IF(YEAR(H$140)&lt;=YEAR(Assumptions!$F$30),H326,0)</f>
        <v>0</v>
      </c>
      <c r="I365" s="151">
        <f>+IF(YEAR(I$140)&lt;=YEAR(Assumptions!$F$30),I326,0)</f>
        <v>0</v>
      </c>
      <c r="J365" s="151">
        <f>+IF(YEAR(J$140)&lt;=YEAR(Assumptions!$F$30),J326,0)</f>
        <v>0</v>
      </c>
      <c r="K365" s="151">
        <f>+IF(YEAR(K$140)&lt;=YEAR(Assumptions!$F$30),K326,0)</f>
        <v>0</v>
      </c>
      <c r="L365" s="151">
        <f>+IF(YEAR(L$140)&lt;=YEAR(Assumptions!$F$30),L326,0)</f>
        <v>0</v>
      </c>
      <c r="M365" s="151">
        <f>+IF(YEAR(M$140)&lt;=YEAR(Assumptions!$F$30),M326,0)</f>
        <v>0</v>
      </c>
      <c r="N365" s="151">
        <f>+IF(YEAR(N$140)&lt;=YEAR(Assumptions!$F$30),N326,0)</f>
        <v>0</v>
      </c>
      <c r="O365" s="151">
        <f>+IF(YEAR(O$140)&lt;=YEAR(Assumptions!$F$30),O326,0)</f>
        <v>0</v>
      </c>
      <c r="P365" s="151">
        <f ca="1">+IF(YEAR(P$140)&lt;=YEAR(Assumptions!$F$30),P326,0)</f>
        <v>457714541.7062313</v>
      </c>
      <c r="Q365" s="151">
        <f>+IF(YEAR(Q$140)&lt;=YEAR(Assumptions!$F$30),Q326,0)</f>
        <v>0</v>
      </c>
      <c r="R365" s="151">
        <f>+IF(YEAR(R$140)&lt;=YEAR(Assumptions!$F$30),R326,0)</f>
        <v>0</v>
      </c>
      <c r="S365" s="151">
        <f>+IF(YEAR(S$140)&lt;=YEAR(Assumptions!$F$30),S326,0)</f>
        <v>0</v>
      </c>
      <c r="T365" s="151">
        <f>+IF(YEAR(T$140)&lt;=YEAR(Assumptions!$F$30),T326,0)</f>
        <v>0</v>
      </c>
      <c r="U365" s="151">
        <f>+IF(YEAR(U$140)&lt;=YEAR(Assumptions!$F$30),U326,0)</f>
        <v>0</v>
      </c>
      <c r="V365" s="151">
        <f>+IF(YEAR(V$140)&lt;=YEAR(Assumptions!$F$30),V326,0)</f>
        <v>0</v>
      </c>
      <c r="W365" s="151">
        <f>+IF(YEAR(W$140)&lt;=YEAR(Assumptions!$F$30),W326,0)</f>
        <v>0</v>
      </c>
      <c r="X365" s="151">
        <f>+IF(YEAR(X$140)&lt;=YEAR(Assumptions!$F$30),X326,0)</f>
        <v>0</v>
      </c>
      <c r="Y365" s="151">
        <f>+IF(YEAR(Y$140)&lt;=YEAR(Assumptions!$F$30),Y326,0)</f>
        <v>0</v>
      </c>
      <c r="Z365" s="151">
        <f>+IF(YEAR(Z$140)&lt;=YEAR(Assumptions!$F$30),Z326,0)</f>
        <v>0</v>
      </c>
    </row>
    <row r="366" spans="2:26" x14ac:dyDescent="0.35">
      <c r="B366" s="33" t="s">
        <v>421</v>
      </c>
      <c r="D366" s="48"/>
      <c r="E366" s="48"/>
      <c r="F366" s="151">
        <f>-F394*Assumptions!$M$192</f>
        <v>0</v>
      </c>
      <c r="G366" s="151">
        <f>-G394*Assumptions!$M$192</f>
        <v>0</v>
      </c>
      <c r="H366" s="151">
        <f>-H394*Assumptions!$M$192</f>
        <v>0</v>
      </c>
      <c r="I366" s="151">
        <f>-I394*Assumptions!$M$192</f>
        <v>0</v>
      </c>
      <c r="J366" s="151">
        <f>-J394*Assumptions!$M$192</f>
        <v>0</v>
      </c>
      <c r="K366" s="151">
        <f>-K394*Assumptions!$M$192</f>
        <v>0</v>
      </c>
      <c r="L366" s="151">
        <f>-L394*Assumptions!$M$192</f>
        <v>0</v>
      </c>
      <c r="M366" s="151">
        <f>-M394*Assumptions!$M$192</f>
        <v>0</v>
      </c>
      <c r="N366" s="151">
        <f>-N394*Assumptions!$M$192</f>
        <v>0</v>
      </c>
      <c r="O366" s="151">
        <f>-O394*Assumptions!$M$192</f>
        <v>0</v>
      </c>
      <c r="P366" s="151">
        <f ca="1">-P394*Assumptions!$M$192</f>
        <v>-55296311.070242368</v>
      </c>
      <c r="Q366" s="151">
        <f>-Q394*Assumptions!$M$192</f>
        <v>0</v>
      </c>
      <c r="R366" s="151">
        <f>-R394*Assumptions!$M$192</f>
        <v>0</v>
      </c>
      <c r="S366" s="151">
        <f>-S394*Assumptions!$M$192</f>
        <v>0</v>
      </c>
      <c r="T366" s="151">
        <f>-T394*Assumptions!$M$192</f>
        <v>0</v>
      </c>
      <c r="U366" s="151">
        <f>-U394*Assumptions!$M$192</f>
        <v>0</v>
      </c>
      <c r="V366" s="151">
        <f>-V394*Assumptions!$M$192</f>
        <v>0</v>
      </c>
      <c r="W366" s="151">
        <f>-W394*Assumptions!$M$192</f>
        <v>0</v>
      </c>
      <c r="X366" s="151">
        <f>-X394*Assumptions!$M$192</f>
        <v>0</v>
      </c>
      <c r="Y366" s="151">
        <f>-Y394*Assumptions!$M$192</f>
        <v>0</v>
      </c>
      <c r="Z366" s="151">
        <f>-Z394*Assumptions!$M$192</f>
        <v>0</v>
      </c>
    </row>
    <row r="367" spans="2:26" x14ac:dyDescent="0.35">
      <c r="B367" s="138" t="s">
        <v>413</v>
      </c>
      <c r="C367" s="138"/>
      <c r="D367" s="139">
        <f t="shared" ref="D367" ca="1" si="621">+SUM(F367:Z367)</f>
        <v>306296936.61712599</v>
      </c>
      <c r="E367" s="139"/>
      <c r="F367" s="139">
        <f t="shared" ref="F367:Z367" ca="1" si="622">+SUM(F360:F366)</f>
        <v>-51495790.787373006</v>
      </c>
      <c r="G367" s="139">
        <f t="shared" ca="1" si="622"/>
        <v>-157132229.98279142</v>
      </c>
      <c r="H367" s="139">
        <f t="shared" ca="1" si="622"/>
        <v>-67152945.779067457</v>
      </c>
      <c r="I367" s="139">
        <f t="shared" ca="1" si="622"/>
        <v>9603660.2164296992</v>
      </c>
      <c r="J367" s="139">
        <f t="shared" ca="1" si="622"/>
        <v>22428273.772779156</v>
      </c>
      <c r="K367" s="139">
        <f t="shared" ca="1" si="622"/>
        <v>22916862.164498225</v>
      </c>
      <c r="L367" s="139">
        <f t="shared" ca="1" si="622"/>
        <v>24324269.40414574</v>
      </c>
      <c r="M367" s="139">
        <f t="shared" ca="1" si="622"/>
        <v>24582304.123468928</v>
      </c>
      <c r="N367" s="139">
        <f t="shared" ca="1" si="622"/>
        <v>24933508.280720826</v>
      </c>
      <c r="O367" s="139">
        <f t="shared" ca="1" si="622"/>
        <v>25293715.751198206</v>
      </c>
      <c r="P367" s="139">
        <f t="shared" ca="1" si="622"/>
        <v>427995309.45311707</v>
      </c>
      <c r="Q367" s="139">
        <f t="shared" ca="1" si="622"/>
        <v>0</v>
      </c>
      <c r="R367" s="139">
        <f t="shared" ca="1" si="622"/>
        <v>0</v>
      </c>
      <c r="S367" s="139">
        <f t="shared" ca="1" si="622"/>
        <v>0</v>
      </c>
      <c r="T367" s="139">
        <f t="shared" ca="1" si="622"/>
        <v>0</v>
      </c>
      <c r="U367" s="139">
        <f t="shared" ca="1" si="622"/>
        <v>0</v>
      </c>
      <c r="V367" s="139">
        <f t="shared" ca="1" si="622"/>
        <v>0</v>
      </c>
      <c r="W367" s="139">
        <f t="shared" ca="1" si="622"/>
        <v>0</v>
      </c>
      <c r="X367" s="139">
        <f t="shared" ca="1" si="622"/>
        <v>0</v>
      </c>
      <c r="Y367" s="139">
        <f t="shared" ca="1" si="622"/>
        <v>0</v>
      </c>
      <c r="Z367" s="139">
        <f t="shared" ca="1" si="622"/>
        <v>0</v>
      </c>
    </row>
    <row r="368" spans="2:26" x14ac:dyDescent="0.35">
      <c r="B368" s="119"/>
    </row>
    <row r="369" spans="2:26" x14ac:dyDescent="0.35">
      <c r="B369" s="226" t="s">
        <v>426</v>
      </c>
      <c r="C369" s="226"/>
      <c r="D369" s="227">
        <f ca="1">+IRR(F367:Z367)</f>
        <v>0.1003671932523873</v>
      </c>
    </row>
    <row r="370" spans="2:26" x14ac:dyDescent="0.35">
      <c r="B370" s="119"/>
      <c r="D370" s="108"/>
    </row>
    <row r="371" spans="2:26" x14ac:dyDescent="0.35">
      <c r="B371" s="148" t="s">
        <v>412</v>
      </c>
      <c r="F371" s="148">
        <f>+F359</f>
        <v>0</v>
      </c>
      <c r="G371" s="148">
        <f t="shared" ref="G371:Z371" si="623">+G359</f>
        <v>1</v>
      </c>
      <c r="H371" s="148">
        <f t="shared" si="623"/>
        <v>2</v>
      </c>
      <c r="I371" s="148">
        <f t="shared" si="623"/>
        <v>3</v>
      </c>
      <c r="J371" s="148">
        <f t="shared" si="623"/>
        <v>4</v>
      </c>
      <c r="K371" s="148">
        <f t="shared" si="623"/>
        <v>5</v>
      </c>
      <c r="L371" s="148">
        <f t="shared" si="623"/>
        <v>6</v>
      </c>
      <c r="M371" s="148">
        <f t="shared" si="623"/>
        <v>7</v>
      </c>
      <c r="N371" s="148">
        <f t="shared" si="623"/>
        <v>8</v>
      </c>
      <c r="O371" s="148">
        <f t="shared" si="623"/>
        <v>9</v>
      </c>
      <c r="P371" s="148">
        <f t="shared" si="623"/>
        <v>10</v>
      </c>
      <c r="Q371" s="148">
        <f t="shared" si="623"/>
        <v>11</v>
      </c>
      <c r="R371" s="148">
        <f t="shared" si="623"/>
        <v>12</v>
      </c>
      <c r="S371" s="148">
        <f t="shared" si="623"/>
        <v>13</v>
      </c>
      <c r="T371" s="148">
        <f t="shared" si="623"/>
        <v>14</v>
      </c>
      <c r="U371" s="148">
        <f t="shared" si="623"/>
        <v>15</v>
      </c>
      <c r="V371" s="148">
        <f t="shared" si="623"/>
        <v>16</v>
      </c>
      <c r="W371" s="148">
        <f t="shared" si="623"/>
        <v>17</v>
      </c>
      <c r="X371" s="148">
        <f t="shared" si="623"/>
        <v>18</v>
      </c>
      <c r="Y371" s="148">
        <f t="shared" si="623"/>
        <v>19</v>
      </c>
      <c r="Z371" s="148">
        <f t="shared" si="623"/>
        <v>20</v>
      </c>
    </row>
    <row r="372" spans="2:26" x14ac:dyDescent="0.35">
      <c r="B372" s="33" t="s">
        <v>404</v>
      </c>
      <c r="D372" s="48"/>
      <c r="E372" s="48"/>
      <c r="F372" s="34">
        <f ca="1">+F360</f>
        <v>-51495790.787373006</v>
      </c>
      <c r="G372" s="34">
        <f t="shared" ref="G372:Z372" ca="1" si="624">+G360</f>
        <v>-157132229.98279142</v>
      </c>
      <c r="H372" s="34">
        <f t="shared" ca="1" si="624"/>
        <v>-67152945.779067457</v>
      </c>
      <c r="I372" s="34">
        <f t="shared" ca="1" si="624"/>
        <v>0</v>
      </c>
      <c r="J372" s="34">
        <f t="shared" ca="1" si="624"/>
        <v>0</v>
      </c>
      <c r="K372" s="34">
        <f t="shared" ca="1" si="624"/>
        <v>0</v>
      </c>
      <c r="L372" s="34">
        <f t="shared" ca="1" si="624"/>
        <v>0</v>
      </c>
      <c r="M372" s="34">
        <f t="shared" ca="1" si="624"/>
        <v>0</v>
      </c>
      <c r="N372" s="34">
        <f t="shared" ca="1" si="624"/>
        <v>0</v>
      </c>
      <c r="O372" s="34">
        <f t="shared" ca="1" si="624"/>
        <v>0</v>
      </c>
      <c r="P372" s="34">
        <f t="shared" ca="1" si="624"/>
        <v>0</v>
      </c>
      <c r="Q372" s="34">
        <f t="shared" ca="1" si="624"/>
        <v>0</v>
      </c>
      <c r="R372" s="34">
        <f t="shared" ca="1" si="624"/>
        <v>0</v>
      </c>
      <c r="S372" s="34">
        <f t="shared" ca="1" si="624"/>
        <v>0</v>
      </c>
      <c r="T372" s="34">
        <f t="shared" ca="1" si="624"/>
        <v>0</v>
      </c>
      <c r="U372" s="34">
        <f t="shared" ca="1" si="624"/>
        <v>0</v>
      </c>
      <c r="V372" s="34">
        <f t="shared" ca="1" si="624"/>
        <v>0</v>
      </c>
      <c r="W372" s="34">
        <f t="shared" ca="1" si="624"/>
        <v>0</v>
      </c>
      <c r="X372" s="34">
        <f t="shared" ca="1" si="624"/>
        <v>0</v>
      </c>
      <c r="Y372" s="34">
        <f t="shared" ca="1" si="624"/>
        <v>0</v>
      </c>
      <c r="Z372" s="34">
        <f t="shared" ca="1" si="624"/>
        <v>0</v>
      </c>
    </row>
    <row r="373" spans="2:26" x14ac:dyDescent="0.35">
      <c r="B373" s="33" t="s">
        <v>422</v>
      </c>
      <c r="D373" s="48"/>
      <c r="E373" s="48"/>
      <c r="F373" s="151">
        <f ca="1">-F372*Assumptions!$M$192</f>
        <v>10814116.065348331</v>
      </c>
      <c r="G373" s="151">
        <f ca="1">-G372*Assumptions!$M$192</f>
        <v>32997768.296386197</v>
      </c>
      <c r="H373" s="151">
        <f ca="1">-H372*Assumptions!$M$192</f>
        <v>14102118.613604166</v>
      </c>
      <c r="I373" s="151">
        <f ca="1">-I372*Assumptions!$M$192</f>
        <v>0</v>
      </c>
      <c r="J373" s="151">
        <f ca="1">-J372*Assumptions!$M$192</f>
        <v>0</v>
      </c>
      <c r="K373" s="151">
        <f ca="1">-K372*Assumptions!$M$192</f>
        <v>0</v>
      </c>
      <c r="L373" s="151">
        <f ca="1">-L372*Assumptions!$M$192</f>
        <v>0</v>
      </c>
      <c r="M373" s="151">
        <f ca="1">-M372*Assumptions!$M$192</f>
        <v>0</v>
      </c>
      <c r="N373" s="151">
        <f ca="1">-N372*Assumptions!$M$192</f>
        <v>0</v>
      </c>
      <c r="O373" s="151">
        <f ca="1">-O372*Assumptions!$M$192</f>
        <v>0</v>
      </c>
      <c r="P373" s="151">
        <f ca="1">-P372*Assumptions!$M$192</f>
        <v>0</v>
      </c>
      <c r="Q373" s="151">
        <f ca="1">-Q372*Assumptions!$M$192</f>
        <v>0</v>
      </c>
      <c r="R373" s="151">
        <f ca="1">-R372*Assumptions!$M$192</f>
        <v>0</v>
      </c>
      <c r="S373" s="151">
        <f ca="1">-S372*Assumptions!$M$192</f>
        <v>0</v>
      </c>
      <c r="T373" s="151">
        <f ca="1">-T372*Assumptions!$M$192</f>
        <v>0</v>
      </c>
      <c r="U373" s="151">
        <f ca="1">-U372*Assumptions!$M$192</f>
        <v>0</v>
      </c>
      <c r="V373" s="151">
        <f ca="1">-V372*Assumptions!$M$192</f>
        <v>0</v>
      </c>
      <c r="W373" s="151">
        <f ca="1">-W372*Assumptions!$M$192</f>
        <v>0</v>
      </c>
      <c r="X373" s="151">
        <f ca="1">-X372*Assumptions!$M$192</f>
        <v>0</v>
      </c>
      <c r="Y373" s="151">
        <f ca="1">-Y372*Assumptions!$M$192</f>
        <v>0</v>
      </c>
      <c r="Z373" s="151">
        <f ca="1">-Z372*Assumptions!$M$192</f>
        <v>0</v>
      </c>
    </row>
    <row r="374" spans="2:26" x14ac:dyDescent="0.35">
      <c r="B374" s="33" t="s">
        <v>423</v>
      </c>
      <c r="D374" s="48"/>
      <c r="E374" s="48"/>
      <c r="F374" s="151">
        <f ca="1">IFERROR(-IF(YEAR(F357)&lt;MIN(YEAR(Assumptions!$F$30),2026),(OFFSET('Phase I Pro Forma'!F373,0,-10)),IF(YEAR(F357)=MIN(YEAR(Assumptions!$F$30),2026),SUM('Phase I Pro Forma'!$E$373:F$373)-SUM('Phase I Pro Forma'!$E$374:E$374),0)),0)</f>
        <v>0</v>
      </c>
      <c r="G374" s="151">
        <f ca="1">IFERROR(-IF(YEAR(G357)&lt;MIN(YEAR(Assumptions!$F$30),2026),(OFFSET('Phase I Pro Forma'!G373,0,-10)),IF(YEAR(G357)=MIN(YEAR(Assumptions!$F$30),2026),SUM('Phase I Pro Forma'!$E$373:G$373)-SUM('Phase I Pro Forma'!$E$374:F$374),0)),0)</f>
        <v>0</v>
      </c>
      <c r="H374" s="151">
        <f ca="1">IFERROR(-IF(YEAR(H357)&lt;MIN(YEAR(Assumptions!$F$30),2026),(OFFSET('Phase I Pro Forma'!H373,0,-10)),IF(YEAR(H357)=MIN(YEAR(Assumptions!$F$30),2026),SUM('Phase I Pro Forma'!$E$373:H$373)-SUM('Phase I Pro Forma'!$E$374:G$374),0)),0)</f>
        <v>0</v>
      </c>
      <c r="I374" s="151">
        <f ca="1">IFERROR(-IF(YEAR(I357)&lt;MIN(YEAR(Assumptions!$F$30),2026),(OFFSET('Phase I Pro Forma'!I373,0,-10)),IF(YEAR(I357)=MIN(YEAR(Assumptions!$F$30),2026),SUM('Phase I Pro Forma'!$E$373:I$373)-SUM('Phase I Pro Forma'!$E$374:H$374),0)),0)</f>
        <v>0</v>
      </c>
      <c r="J374" s="151">
        <f ca="1">IFERROR(-IF(YEAR(J357)&lt;MIN(YEAR(Assumptions!$F$30),2026),(OFFSET('Phase I Pro Forma'!J373,0,-10)),IF(YEAR(J357)=MIN(YEAR(Assumptions!$F$30),2026),SUM('Phase I Pro Forma'!$E$373:J$373)-SUM('Phase I Pro Forma'!$E$374:I$374),0)),0)</f>
        <v>0</v>
      </c>
      <c r="K374" s="151">
        <f ca="1">IFERROR(-IF(YEAR(K357)&lt;MIN(YEAR(Assumptions!$F$30),2026),(OFFSET('Phase I Pro Forma'!K373,0,-10)),IF(YEAR(K357)=MIN(YEAR(Assumptions!$F$30),2026),SUM('Phase I Pro Forma'!$E$373:K$373)-SUM('Phase I Pro Forma'!$E$374:J$374),0)),0)</f>
        <v>0</v>
      </c>
      <c r="L374" s="151">
        <f ca="1">IFERROR(-IF(YEAR(L357)&lt;MIN(YEAR(Assumptions!$F$30),2026),(OFFSET('Phase I Pro Forma'!L373,0,-10)),IF(YEAR(L357)=MIN(YEAR(Assumptions!$F$30),2026),SUM('Phase I Pro Forma'!$E$373:L$373)-SUM('Phase I Pro Forma'!$E$374:K$374),0)),0)</f>
        <v>-57914002.97533869</v>
      </c>
      <c r="M374" s="151">
        <f ca="1">IFERROR(-IF(YEAR(M357)&lt;MIN(YEAR(Assumptions!$F$30),2026),(OFFSET('Phase I Pro Forma'!M373,0,-10)),IF(YEAR(M357)=MIN(YEAR(Assumptions!$F$30),2026),SUM('Phase I Pro Forma'!$E$373:M$373)-SUM('Phase I Pro Forma'!$E$374:L$374),0)),0)</f>
        <v>0</v>
      </c>
      <c r="N374" s="151">
        <f ca="1">IFERROR(-IF(YEAR(N357)&lt;MIN(YEAR(Assumptions!$F$30),2026),(OFFSET('Phase I Pro Forma'!N373,0,-10)),IF(YEAR(N357)=MIN(YEAR(Assumptions!$F$30),2026),SUM('Phase I Pro Forma'!$E$373:N$373)-SUM('Phase I Pro Forma'!$E$374:M$374),0)),0)</f>
        <v>0</v>
      </c>
      <c r="O374" s="151">
        <f ca="1">IFERROR(-IF(YEAR(O357)&lt;MIN(YEAR(Assumptions!$F$30),2026),(OFFSET('Phase I Pro Forma'!O373,0,-10)),IF(YEAR(O357)=MIN(YEAR(Assumptions!$F$30),2026),SUM('Phase I Pro Forma'!$E$373:O$373)-SUM('Phase I Pro Forma'!$E$374:N$374),0)),0)</f>
        <v>0</v>
      </c>
      <c r="P374" s="151">
        <f ca="1">IFERROR(-IF(YEAR(P357)&lt;MIN(YEAR(Assumptions!$F$30),2026),(OFFSET('Phase I Pro Forma'!P373,0,-10)),IF(YEAR(P357)=MIN(YEAR(Assumptions!$F$30),2026),SUM('Phase I Pro Forma'!$E$373:P$373)-SUM('Phase I Pro Forma'!$E$374:O$374),0)),0)</f>
        <v>0</v>
      </c>
      <c r="Q374" s="151">
        <f ca="1">IFERROR(-IF(YEAR(Q357)&lt;MIN(YEAR(Assumptions!$F$30),2026),(OFFSET('Phase I Pro Forma'!Q373,0,-10)),IF(YEAR(Q357)=MIN(YEAR(Assumptions!$F$30),2026),SUM('Phase I Pro Forma'!$E$373:Q$373)-SUM('Phase I Pro Forma'!$E$374:P$374),0)),0)</f>
        <v>0</v>
      </c>
      <c r="R374" s="151">
        <f ca="1">IFERROR(-IF(YEAR(R357)&lt;MIN(YEAR(Assumptions!$F$30),2026),(OFFSET('Phase I Pro Forma'!R373,0,-10)),IF(YEAR(R357)=MIN(YEAR(Assumptions!$F$30),2026),SUM('Phase I Pro Forma'!$E$373:R$373)-SUM('Phase I Pro Forma'!$E$374:Q$374),0)),0)</f>
        <v>0</v>
      </c>
      <c r="S374" s="151">
        <f ca="1">IFERROR(-IF(YEAR(S357)&lt;MIN(YEAR(Assumptions!$F$30),2026),(OFFSET('Phase I Pro Forma'!S373,0,-10)),IF(YEAR(S357)=MIN(YEAR(Assumptions!$F$30),2026),SUM('Phase I Pro Forma'!$E$373:S$373)-SUM('Phase I Pro Forma'!$E$374:R$374),0)),0)</f>
        <v>0</v>
      </c>
      <c r="T374" s="151">
        <f ca="1">IFERROR(-IF(YEAR(T357)&lt;MIN(YEAR(Assumptions!$F$30),2026),(OFFSET('Phase I Pro Forma'!T373,0,-10)),IF(YEAR(T357)=MIN(YEAR(Assumptions!$F$30),2026),SUM('Phase I Pro Forma'!$E$373:T$373)-SUM('Phase I Pro Forma'!$E$374:S$374),0)),0)</f>
        <v>0</v>
      </c>
      <c r="U374" s="151">
        <f ca="1">IFERROR(-IF(YEAR(U357)&lt;MIN(YEAR(Assumptions!$F$30),2026),(OFFSET('Phase I Pro Forma'!U373,0,-10)),IF(YEAR(U357)=MIN(YEAR(Assumptions!$F$30),2026),SUM('Phase I Pro Forma'!$E$373:U$373)-SUM('Phase I Pro Forma'!$E$374:T$374),0)),0)</f>
        <v>0</v>
      </c>
      <c r="V374" s="151">
        <f ca="1">IFERROR(-IF(YEAR(V357)&lt;MIN(YEAR(Assumptions!$F$30),2026),(OFFSET('Phase I Pro Forma'!V373,0,-10)),IF(YEAR(V357)=MIN(YEAR(Assumptions!$F$30),2026),SUM('Phase I Pro Forma'!$E$373:V$373)-SUM('Phase I Pro Forma'!$E$374:U$374),0)),0)</f>
        <v>0</v>
      </c>
      <c r="W374" s="151">
        <f ca="1">IFERROR(-IF(YEAR(W357)&lt;MIN(YEAR(Assumptions!$F$30),2026),(OFFSET('Phase I Pro Forma'!W373,0,-10)),IF(YEAR(W357)=MIN(YEAR(Assumptions!$F$30),2026),SUM('Phase I Pro Forma'!$E$373:W$373)-SUM('Phase I Pro Forma'!$E$374:V$374),0)),0)</f>
        <v>0</v>
      </c>
      <c r="X374" s="151">
        <f ca="1">IFERROR(-IF(YEAR(X357)&lt;MIN(YEAR(Assumptions!$F$30),2026),(OFFSET('Phase I Pro Forma'!X373,0,-10)),IF(YEAR(X357)=MIN(YEAR(Assumptions!$F$30),2026),SUM('Phase I Pro Forma'!$E$373:X$373)-SUM('Phase I Pro Forma'!$E$374:W$374),0)),0)</f>
        <v>0</v>
      </c>
      <c r="Y374" s="151">
        <f ca="1">IFERROR(-IF(YEAR(Y357)&lt;MIN(YEAR(Assumptions!$F$30),2026),(OFFSET('Phase I Pro Forma'!Y373,0,-10)),IF(YEAR(Y357)=MIN(YEAR(Assumptions!$F$30),2026),SUM('Phase I Pro Forma'!$E$373:Y$373)-SUM('Phase I Pro Forma'!$E$374:X$374),0)),0)</f>
        <v>0</v>
      </c>
      <c r="Z374" s="151">
        <f ca="1">IFERROR(-IF(YEAR(Z357)&lt;MIN(YEAR(Assumptions!$F$30),2026),(OFFSET('Phase I Pro Forma'!Z373,0,-10)),IF(YEAR(Z357)=MIN(YEAR(Assumptions!$F$30),2026),SUM('Phase I Pro Forma'!$E$373:Z$373)-SUM('Phase I Pro Forma'!$E$374:Y$374),0)),0)</f>
        <v>0</v>
      </c>
    </row>
    <row r="375" spans="2:26" x14ac:dyDescent="0.35">
      <c r="B375" s="33" t="s">
        <v>424</v>
      </c>
      <c r="D375" s="48"/>
      <c r="E375" s="48"/>
      <c r="F375" s="151">
        <f>+IF(YEAR(F357)=MIN(YEAR(Assumptions!$F$30),2026),SUM('Phase I Pro Forma'!$F$385:$Z$385),0)</f>
        <v>0</v>
      </c>
      <c r="G375" s="151">
        <f>+IF(YEAR(G357)=MIN(YEAR(Assumptions!$F$30),2026),SUM('Phase I Pro Forma'!$F$385:$Z$385),0)</f>
        <v>0</v>
      </c>
      <c r="H375" s="151">
        <f>+IF(YEAR(H357)=MIN(YEAR(Assumptions!$F$30),2026),SUM('Phase I Pro Forma'!$F$385:$Z$385),0)</f>
        <v>0</v>
      </c>
      <c r="I375" s="151">
        <f>+IF(YEAR(I357)=MIN(YEAR(Assumptions!$F$30),2026),SUM('Phase I Pro Forma'!$F$385:$Z$385),0)</f>
        <v>0</v>
      </c>
      <c r="J375" s="151">
        <f>+IF(YEAR(J357)=MIN(YEAR(Assumptions!$F$30),2026),SUM('Phase I Pro Forma'!$F$385:$Z$385),0)</f>
        <v>0</v>
      </c>
      <c r="K375" s="151">
        <f>+IF(YEAR(K357)=MIN(YEAR(Assumptions!$F$30),2026),SUM('Phase I Pro Forma'!$F$385:$Z$385),0)</f>
        <v>0</v>
      </c>
      <c r="L375" s="151">
        <f ca="1">+IF(YEAR(L357)=MIN(YEAR(Assumptions!$F$30),2026),SUM('Phase I Pro Forma'!$F$385:$Z$385),0)</f>
        <v>8687100.4463008046</v>
      </c>
      <c r="M375" s="151">
        <f>+IF(YEAR(M357)=MIN(YEAR(Assumptions!$F$30),2026),SUM('Phase I Pro Forma'!$F$385:$Z$385),0)</f>
        <v>0</v>
      </c>
      <c r="N375" s="151">
        <f>+IF(YEAR(N357)=MIN(YEAR(Assumptions!$F$30),2026),SUM('Phase I Pro Forma'!$F$385:$Z$385),0)</f>
        <v>0</v>
      </c>
      <c r="O375" s="151">
        <f>+IF(YEAR(O357)=MIN(YEAR(Assumptions!$F$30),2026),SUM('Phase I Pro Forma'!$F$385:$Z$385),0)</f>
        <v>0</v>
      </c>
      <c r="P375" s="151">
        <f>+IF(YEAR(P357)=MIN(YEAR(Assumptions!$F$30),2026),SUM('Phase I Pro Forma'!$F$385:$Z$385),0)</f>
        <v>0</v>
      </c>
      <c r="Q375" s="151">
        <f>+IF(YEAR(Q357)=MIN(YEAR(Assumptions!$F$30),2026),SUM('Phase I Pro Forma'!$F$385:$Z$385),0)</f>
        <v>0</v>
      </c>
      <c r="R375" s="151">
        <f>+IF(YEAR(R357)=MIN(YEAR(Assumptions!$F$30),2026),SUM('Phase I Pro Forma'!$F$385:$Z$385),0)</f>
        <v>0</v>
      </c>
      <c r="S375" s="151">
        <f>+IF(YEAR(S357)=MIN(YEAR(Assumptions!$F$30),2026),SUM('Phase I Pro Forma'!$F$385:$Z$385),0)</f>
        <v>0</v>
      </c>
      <c r="T375" s="151">
        <f>+IF(YEAR(T357)=MIN(YEAR(Assumptions!$F$30),2026),SUM('Phase I Pro Forma'!$F$385:$Z$385),0)</f>
        <v>0</v>
      </c>
      <c r="U375" s="151">
        <f>+IF(YEAR(U357)=MIN(YEAR(Assumptions!$F$30),2026),SUM('Phase I Pro Forma'!$F$385:$Z$385),0)</f>
        <v>0</v>
      </c>
      <c r="V375" s="151">
        <f>+IF(YEAR(V357)=MIN(YEAR(Assumptions!$F$30),2026),SUM('Phase I Pro Forma'!$F$385:$Z$385),0)</f>
        <v>0</v>
      </c>
      <c r="W375" s="151">
        <f>+IF(YEAR(W357)=MIN(YEAR(Assumptions!$F$30),2026),SUM('Phase I Pro Forma'!$F$385:$Z$385),0)</f>
        <v>0</v>
      </c>
      <c r="X375" s="151">
        <f>+IF(YEAR(X357)=MIN(YEAR(Assumptions!$F$30),2026),SUM('Phase I Pro Forma'!$F$385:$Z$385),0)</f>
        <v>0</v>
      </c>
      <c r="Y375" s="151">
        <f>+IF(YEAR(Y357)=MIN(YEAR(Assumptions!$F$30),2026),SUM('Phase I Pro Forma'!$F$385:$Z$385),0)</f>
        <v>0</v>
      </c>
      <c r="Z375" s="151">
        <f>+IF(YEAR(Z357)=MIN(YEAR(Assumptions!$F$30),2026),SUM('Phase I Pro Forma'!$F$385:$Z$385),0)</f>
        <v>0</v>
      </c>
    </row>
    <row r="376" spans="2:26" x14ac:dyDescent="0.35">
      <c r="B376" s="33" t="s">
        <v>414</v>
      </c>
      <c r="D376" s="48"/>
      <c r="E376" s="48"/>
      <c r="F376" s="151">
        <f ca="1">+F363</f>
        <v>0</v>
      </c>
      <c r="G376" s="151">
        <f t="shared" ref="G376:Z376" ca="1" si="625">+G363</f>
        <v>0</v>
      </c>
      <c r="H376" s="151">
        <f t="shared" ca="1" si="625"/>
        <v>0</v>
      </c>
      <c r="I376" s="151">
        <f t="shared" ca="1" si="625"/>
        <v>-2552871.7031015651</v>
      </c>
      <c r="J376" s="151">
        <f t="shared" ca="1" si="625"/>
        <v>-2871483.2113404754</v>
      </c>
      <c r="K376" s="151">
        <f t="shared" ca="1" si="625"/>
        <v>-3001361.1382531389</v>
      </c>
      <c r="L376" s="151">
        <f t="shared" ca="1" si="625"/>
        <v>-3375482.0500581749</v>
      </c>
      <c r="M376" s="151">
        <f t="shared" ca="1" si="625"/>
        <v>-3444073.5577263646</v>
      </c>
      <c r="N376" s="151">
        <f t="shared" ca="1" si="625"/>
        <v>-3537431.6248439578</v>
      </c>
      <c r="O376" s="151">
        <f t="shared" ca="1" si="625"/>
        <v>-3633182.9777556662</v>
      </c>
      <c r="P376" s="151">
        <f t="shared" ca="1" si="625"/>
        <v>-3708507.3370534903</v>
      </c>
      <c r="Q376" s="151">
        <f t="shared" si="625"/>
        <v>0</v>
      </c>
      <c r="R376" s="151">
        <f t="shared" si="625"/>
        <v>0</v>
      </c>
      <c r="S376" s="151">
        <f t="shared" si="625"/>
        <v>0</v>
      </c>
      <c r="T376" s="151">
        <f t="shared" si="625"/>
        <v>0</v>
      </c>
      <c r="U376" s="151">
        <f t="shared" si="625"/>
        <v>0</v>
      </c>
      <c r="V376" s="151">
        <f t="shared" si="625"/>
        <v>0</v>
      </c>
      <c r="W376" s="151">
        <f t="shared" si="625"/>
        <v>0</v>
      </c>
      <c r="X376" s="151">
        <f t="shared" si="625"/>
        <v>0</v>
      </c>
      <c r="Y376" s="151">
        <f t="shared" si="625"/>
        <v>0</v>
      </c>
      <c r="Z376" s="151">
        <f t="shared" si="625"/>
        <v>0</v>
      </c>
    </row>
    <row r="377" spans="2:26" x14ac:dyDescent="0.35">
      <c r="B377" s="33" t="s">
        <v>415</v>
      </c>
      <c r="D377" s="48"/>
      <c r="E377" s="48"/>
      <c r="F377" s="151">
        <f ca="1">+F364</f>
        <v>0</v>
      </c>
      <c r="G377" s="151">
        <f t="shared" ref="G377:Z377" ca="1" si="626">+G364</f>
        <v>0</v>
      </c>
      <c r="H377" s="151">
        <f t="shared" ca="1" si="626"/>
        <v>0</v>
      </c>
      <c r="I377" s="151">
        <f t="shared" ca="1" si="626"/>
        <v>12156531.919531263</v>
      </c>
      <c r="J377" s="151">
        <f t="shared" ca="1" si="626"/>
        <v>25299756.984119631</v>
      </c>
      <c r="K377" s="151">
        <f t="shared" ca="1" si="626"/>
        <v>25918223.302751362</v>
      </c>
      <c r="L377" s="151">
        <f t="shared" ca="1" si="626"/>
        <v>27699751.454203915</v>
      </c>
      <c r="M377" s="151">
        <f t="shared" ca="1" si="626"/>
        <v>28026377.681195293</v>
      </c>
      <c r="N377" s="151">
        <f t="shared" ca="1" si="626"/>
        <v>28470939.905564785</v>
      </c>
      <c r="O377" s="151">
        <f t="shared" ca="1" si="626"/>
        <v>28926898.728953872</v>
      </c>
      <c r="P377" s="151">
        <f t="shared" ca="1" si="626"/>
        <v>29285586.154181607</v>
      </c>
      <c r="Q377" s="151">
        <f t="shared" si="626"/>
        <v>0</v>
      </c>
      <c r="R377" s="151">
        <f t="shared" si="626"/>
        <v>0</v>
      </c>
      <c r="S377" s="151">
        <f t="shared" si="626"/>
        <v>0</v>
      </c>
      <c r="T377" s="151">
        <f t="shared" si="626"/>
        <v>0</v>
      </c>
      <c r="U377" s="151">
        <f t="shared" si="626"/>
        <v>0</v>
      </c>
      <c r="V377" s="151">
        <f t="shared" si="626"/>
        <v>0</v>
      </c>
      <c r="W377" s="151">
        <f t="shared" si="626"/>
        <v>0</v>
      </c>
      <c r="X377" s="151">
        <f t="shared" si="626"/>
        <v>0</v>
      </c>
      <c r="Y377" s="151">
        <f t="shared" si="626"/>
        <v>0</v>
      </c>
      <c r="Z377" s="151">
        <f t="shared" si="626"/>
        <v>0</v>
      </c>
    </row>
    <row r="378" spans="2:26" x14ac:dyDescent="0.35">
      <c r="B378" s="33" t="s">
        <v>409</v>
      </c>
      <c r="D378" s="48"/>
      <c r="E378" s="48"/>
      <c r="F378" s="151">
        <f>+F365</f>
        <v>0</v>
      </c>
      <c r="G378" s="151">
        <f t="shared" ref="G378:Z378" si="627">+G365</f>
        <v>0</v>
      </c>
      <c r="H378" s="151">
        <f t="shared" si="627"/>
        <v>0</v>
      </c>
      <c r="I378" s="151">
        <f t="shared" si="627"/>
        <v>0</v>
      </c>
      <c r="J378" s="151">
        <f t="shared" si="627"/>
        <v>0</v>
      </c>
      <c r="K378" s="151">
        <f t="shared" si="627"/>
        <v>0</v>
      </c>
      <c r="L378" s="151">
        <f t="shared" si="627"/>
        <v>0</v>
      </c>
      <c r="M378" s="151">
        <f t="shared" si="627"/>
        <v>0</v>
      </c>
      <c r="N378" s="151">
        <f t="shared" si="627"/>
        <v>0</v>
      </c>
      <c r="O378" s="151">
        <f t="shared" si="627"/>
        <v>0</v>
      </c>
      <c r="P378" s="151">
        <f t="shared" ca="1" si="627"/>
        <v>457714541.7062313</v>
      </c>
      <c r="Q378" s="151">
        <f t="shared" si="627"/>
        <v>0</v>
      </c>
      <c r="R378" s="151">
        <f t="shared" si="627"/>
        <v>0</v>
      </c>
      <c r="S378" s="151">
        <f t="shared" si="627"/>
        <v>0</v>
      </c>
      <c r="T378" s="151">
        <f t="shared" si="627"/>
        <v>0</v>
      </c>
      <c r="U378" s="151">
        <f t="shared" si="627"/>
        <v>0</v>
      </c>
      <c r="V378" s="151">
        <f t="shared" si="627"/>
        <v>0</v>
      </c>
      <c r="W378" s="151">
        <f t="shared" si="627"/>
        <v>0</v>
      </c>
      <c r="X378" s="151">
        <f t="shared" si="627"/>
        <v>0</v>
      </c>
      <c r="Y378" s="151">
        <f t="shared" si="627"/>
        <v>0</v>
      </c>
      <c r="Z378" s="151">
        <f t="shared" si="627"/>
        <v>0</v>
      </c>
    </row>
    <row r="379" spans="2:26" x14ac:dyDescent="0.35">
      <c r="B379" s="33" t="s">
        <v>421</v>
      </c>
      <c r="D379" s="48"/>
      <c r="E379" s="48"/>
      <c r="F379" s="151">
        <f>+IF(F359&gt;=10,0,F366)</f>
        <v>0</v>
      </c>
      <c r="G379" s="151">
        <f t="shared" ref="G379:Z379" si="628">+IF(G359&gt;=10,0,G366)</f>
        <v>0</v>
      </c>
      <c r="H379" s="151">
        <f t="shared" si="628"/>
        <v>0</v>
      </c>
      <c r="I379" s="151">
        <f t="shared" si="628"/>
        <v>0</v>
      </c>
      <c r="J379" s="151">
        <f t="shared" si="628"/>
        <v>0</v>
      </c>
      <c r="K379" s="151">
        <f t="shared" si="628"/>
        <v>0</v>
      </c>
      <c r="L379" s="151">
        <f t="shared" si="628"/>
        <v>0</v>
      </c>
      <c r="M379" s="151">
        <f t="shared" si="628"/>
        <v>0</v>
      </c>
      <c r="N379" s="151">
        <f t="shared" si="628"/>
        <v>0</v>
      </c>
      <c r="O379" s="151">
        <f t="shared" si="628"/>
        <v>0</v>
      </c>
      <c r="P379" s="151">
        <f t="shared" si="628"/>
        <v>0</v>
      </c>
      <c r="Q379" s="151">
        <f t="shared" si="628"/>
        <v>0</v>
      </c>
      <c r="R379" s="151">
        <f t="shared" si="628"/>
        <v>0</v>
      </c>
      <c r="S379" s="151">
        <f t="shared" si="628"/>
        <v>0</v>
      </c>
      <c r="T379" s="151">
        <f t="shared" si="628"/>
        <v>0</v>
      </c>
      <c r="U379" s="151">
        <f t="shared" si="628"/>
        <v>0</v>
      </c>
      <c r="V379" s="151">
        <f t="shared" si="628"/>
        <v>0</v>
      </c>
      <c r="W379" s="151">
        <f t="shared" si="628"/>
        <v>0</v>
      </c>
      <c r="X379" s="151">
        <f t="shared" si="628"/>
        <v>0</v>
      </c>
      <c r="Y379" s="151">
        <f t="shared" si="628"/>
        <v>0</v>
      </c>
      <c r="Z379" s="151">
        <f t="shared" si="628"/>
        <v>0</v>
      </c>
    </row>
    <row r="380" spans="2:26" x14ac:dyDescent="0.35">
      <c r="B380" s="138" t="s">
        <v>412</v>
      </c>
      <c r="C380" s="138"/>
      <c r="D380" s="139">
        <f t="shared" ref="D380" ca="1" si="629">+SUM(F380:Z380)</f>
        <v>370280348.13366914</v>
      </c>
      <c r="E380" s="139"/>
      <c r="F380" s="139">
        <f t="shared" ref="F380:Z380" ca="1" si="630">+SUM(F372:F379)</f>
        <v>-40681674.722024679</v>
      </c>
      <c r="G380" s="139">
        <f t="shared" ca="1" si="630"/>
        <v>-124134461.68640523</v>
      </c>
      <c r="H380" s="139">
        <f t="shared" ca="1" si="630"/>
        <v>-53050827.165463291</v>
      </c>
      <c r="I380" s="139">
        <f t="shared" ca="1" si="630"/>
        <v>9603660.2164296992</v>
      </c>
      <c r="J380" s="139">
        <f t="shared" ca="1" si="630"/>
        <v>22428273.772779156</v>
      </c>
      <c r="K380" s="139">
        <f t="shared" ca="1" si="630"/>
        <v>22916862.164498225</v>
      </c>
      <c r="L380" s="139">
        <f t="shared" ca="1" si="630"/>
        <v>-24902633.124892149</v>
      </c>
      <c r="M380" s="139">
        <f t="shared" ca="1" si="630"/>
        <v>24582304.123468928</v>
      </c>
      <c r="N380" s="139">
        <f t="shared" ca="1" si="630"/>
        <v>24933508.280720826</v>
      </c>
      <c r="O380" s="139">
        <f t="shared" ca="1" si="630"/>
        <v>25293715.751198206</v>
      </c>
      <c r="P380" s="139">
        <f t="shared" ca="1" si="630"/>
        <v>483291620.52335942</v>
      </c>
      <c r="Q380" s="139">
        <f t="shared" ca="1" si="630"/>
        <v>0</v>
      </c>
      <c r="R380" s="139">
        <f t="shared" ca="1" si="630"/>
        <v>0</v>
      </c>
      <c r="S380" s="139">
        <f t="shared" ca="1" si="630"/>
        <v>0</v>
      </c>
      <c r="T380" s="139">
        <f t="shared" ca="1" si="630"/>
        <v>0</v>
      </c>
      <c r="U380" s="139">
        <f t="shared" ca="1" si="630"/>
        <v>0</v>
      </c>
      <c r="V380" s="139">
        <f t="shared" ca="1" si="630"/>
        <v>0</v>
      </c>
      <c r="W380" s="139">
        <f t="shared" ca="1" si="630"/>
        <v>0</v>
      </c>
      <c r="X380" s="139">
        <f t="shared" ca="1" si="630"/>
        <v>0</v>
      </c>
      <c r="Y380" s="139">
        <f t="shared" ca="1" si="630"/>
        <v>0</v>
      </c>
      <c r="Z380" s="139">
        <f t="shared" ca="1" si="630"/>
        <v>0</v>
      </c>
    </row>
    <row r="382" spans="2:26" x14ac:dyDescent="0.35">
      <c r="B382" s="190" t="s">
        <v>427</v>
      </c>
      <c r="C382" s="190"/>
      <c r="D382" s="191">
        <f ca="1">+IRR(F380:Z380)</f>
        <v>0.12957484963679144</v>
      </c>
    </row>
    <row r="383" spans="2:26" x14ac:dyDescent="0.35">
      <c r="B383" s="194" t="s">
        <v>428</v>
      </c>
      <c r="C383" s="193"/>
      <c r="D383" s="228">
        <f ca="1">+D382/(1-Assumptions!$M$192)</f>
        <v>0.16401879700859676</v>
      </c>
    </row>
    <row r="385" spans="2:26" x14ac:dyDescent="0.35">
      <c r="B385" s="41" t="s">
        <v>425</v>
      </c>
      <c r="F385" s="151">
        <f ca="1">IFERROR(IF(YEAR(F357)&lt;=YEAR(Assumptions!$F$30),10%*(OFFSET('Phase I Pro Forma'!F373,0,-5))+5%*(OFFSET('Phase I Pro Forma'!F373,0,-7)),0),0)</f>
        <v>0</v>
      </c>
      <c r="G385" s="151">
        <f ca="1">IFERROR(IF(YEAR(G357)&lt;=YEAR(Assumptions!$F$30),10%*(OFFSET('Phase I Pro Forma'!G373,0,-5))+5%*(OFFSET('Phase I Pro Forma'!G373,0,-7)),0),0)</f>
        <v>0</v>
      </c>
      <c r="H385" s="151">
        <f ca="1">IFERROR(IF(YEAR(H357)&lt;=YEAR(Assumptions!$F$30),10%*(OFFSET('Phase I Pro Forma'!H373,0,-5))+5%*(OFFSET('Phase I Pro Forma'!H373,0,-7)),0),0)</f>
        <v>0</v>
      </c>
      <c r="I385" s="151">
        <f ca="1">IFERROR(IF(YEAR(I357)&lt;=YEAR(Assumptions!$F$30),10%*(OFFSET('Phase I Pro Forma'!I373,0,-5))+5%*(OFFSET('Phase I Pro Forma'!I373,0,-7)),0),0)</f>
        <v>0</v>
      </c>
      <c r="J385" s="151">
        <f ca="1">IFERROR(IF(YEAR(J357)&lt;=YEAR(Assumptions!$F$30),10%*(OFFSET('Phase I Pro Forma'!J373,0,-5))+5%*(OFFSET('Phase I Pro Forma'!J373,0,-7)),0),0)</f>
        <v>0</v>
      </c>
      <c r="K385" s="151">
        <f ca="1">IFERROR(IF(YEAR(K357)&lt;=YEAR(Assumptions!$F$30),10%*(OFFSET('Phase I Pro Forma'!K373,0,-5))+5%*(OFFSET('Phase I Pro Forma'!K373,0,-7)),0),0)</f>
        <v>1081411.6065348331</v>
      </c>
      <c r="L385" s="151">
        <f ca="1">IFERROR(IF(YEAR(L357)&lt;=YEAR(Assumptions!$F$30),10%*(OFFSET('Phase I Pro Forma'!L373,0,-5))+5%*(OFFSET('Phase I Pro Forma'!L373,0,-7)),0),0)</f>
        <v>3299776.8296386199</v>
      </c>
      <c r="M385" s="151">
        <f ca="1">IFERROR(IF(YEAR(M357)&lt;=YEAR(Assumptions!$F$30),10%*(OFFSET('Phase I Pro Forma'!M373,0,-5))+5%*(OFFSET('Phase I Pro Forma'!M373,0,-7)),0),0)</f>
        <v>1950917.6646278333</v>
      </c>
      <c r="N385" s="151">
        <f ca="1">IFERROR(IF(YEAR(N357)&lt;=YEAR(Assumptions!$F$30),10%*(OFFSET('Phase I Pro Forma'!N373,0,-5))+5%*(OFFSET('Phase I Pro Forma'!N373,0,-7)),0),0)</f>
        <v>1649888.41481931</v>
      </c>
      <c r="O385" s="151">
        <f ca="1">IFERROR(IF(YEAR(O357)&lt;=YEAR(Assumptions!$F$30),10%*(OFFSET('Phase I Pro Forma'!O373,0,-5))+5%*(OFFSET('Phase I Pro Forma'!O373,0,-7)),0),0)</f>
        <v>705105.93068020837</v>
      </c>
      <c r="P385" s="151">
        <f ca="1">IFERROR(IF(YEAR(P357)&lt;=YEAR(Assumptions!$F$30),10%*(OFFSET('Phase I Pro Forma'!P373,0,-5))+5%*(OFFSET('Phase I Pro Forma'!P373,0,-7)),0),0)</f>
        <v>0</v>
      </c>
      <c r="Q385" s="151">
        <f ca="1">IFERROR(IF(YEAR(Q357)&lt;=YEAR(Assumptions!$F$30),10%*(OFFSET('Phase I Pro Forma'!Q373,0,-5))+5%*(OFFSET('Phase I Pro Forma'!Q373,0,-7)),0),0)</f>
        <v>0</v>
      </c>
      <c r="R385" s="151">
        <f ca="1">IFERROR(IF(YEAR(R357)&lt;=YEAR(Assumptions!$F$30),10%*(OFFSET('Phase I Pro Forma'!R373,0,-5))+5%*(OFFSET('Phase I Pro Forma'!R373,0,-7)),0),0)</f>
        <v>0</v>
      </c>
      <c r="S385" s="151">
        <f ca="1">IFERROR(IF(YEAR(S357)&lt;=YEAR(Assumptions!$F$30),10%*(OFFSET('Phase I Pro Forma'!S373,0,-5))+5%*(OFFSET('Phase I Pro Forma'!S373,0,-7)),0),0)</f>
        <v>0</v>
      </c>
      <c r="T385" s="151">
        <f ca="1">IFERROR(IF(YEAR(T357)&lt;=YEAR(Assumptions!$F$30),10%*(OFFSET('Phase I Pro Forma'!T373,0,-5))+5%*(OFFSET('Phase I Pro Forma'!T373,0,-7)),0),0)</f>
        <v>0</v>
      </c>
      <c r="U385" s="151">
        <f ca="1">IFERROR(IF(YEAR(U357)&lt;=YEAR(Assumptions!$F$30),10%*(OFFSET('Phase I Pro Forma'!U373,0,-5))+5%*(OFFSET('Phase I Pro Forma'!U373,0,-7)),0),0)</f>
        <v>0</v>
      </c>
      <c r="V385" s="151">
        <f ca="1">IFERROR(IF(YEAR(V357)&lt;=YEAR(Assumptions!$F$30),10%*(OFFSET('Phase I Pro Forma'!V373,0,-5))+5%*(OFFSET('Phase I Pro Forma'!V373,0,-7)),0),0)</f>
        <v>0</v>
      </c>
      <c r="W385" s="151">
        <f ca="1">IFERROR(IF(YEAR(W357)&lt;=YEAR(Assumptions!$F$30),10%*(OFFSET('Phase I Pro Forma'!W373,0,-5))+5%*(OFFSET('Phase I Pro Forma'!W373,0,-7)),0),0)</f>
        <v>0</v>
      </c>
      <c r="X385" s="151">
        <f ca="1">IFERROR(IF(YEAR(X357)&lt;=YEAR(Assumptions!$F$30),10%*(OFFSET('Phase I Pro Forma'!X373,0,-5))+5%*(OFFSET('Phase I Pro Forma'!X373,0,-7)),0),0)</f>
        <v>0</v>
      </c>
      <c r="Y385" s="151">
        <f ca="1">IFERROR(IF(YEAR(Y357)&lt;=YEAR(Assumptions!$F$30),10%*(OFFSET('Phase I Pro Forma'!Y373,0,-5))+5%*(OFFSET('Phase I Pro Forma'!Y373,0,-7)),0),0)</f>
        <v>0</v>
      </c>
      <c r="Z385" s="151">
        <f ca="1">IFERROR(IF(YEAR(Z357)&lt;=YEAR(Assumptions!$F$30),10%*(OFFSET('Phase I Pro Forma'!Z373,0,-5))+5%*(OFFSET('Phase I Pro Forma'!Z373,0,-7)),0),0)</f>
        <v>0</v>
      </c>
    </row>
    <row r="387" spans="2:26" x14ac:dyDescent="0.35">
      <c r="B387" s="148" t="s">
        <v>405</v>
      </c>
    </row>
    <row r="388" spans="2:26" x14ac:dyDescent="0.35">
      <c r="B388" s="33" t="s">
        <v>406</v>
      </c>
      <c r="D388" s="48">
        <f ca="1">+SUM(F388:Z388)</f>
        <v>2222224968.4189286</v>
      </c>
      <c r="E388" s="48"/>
      <c r="F388" s="34">
        <v>0</v>
      </c>
      <c r="G388" s="34">
        <f ca="1">+F395</f>
        <v>51495790.787373006</v>
      </c>
      <c r="H388" s="34">
        <f t="shared" ref="H388:Z388" ca="1" si="631">+G395</f>
        <v>208628020.77016443</v>
      </c>
      <c r="I388" s="34">
        <f t="shared" ca="1" si="631"/>
        <v>275780966.54923189</v>
      </c>
      <c r="J388" s="34">
        <f t="shared" ca="1" si="631"/>
        <v>275780966.54923189</v>
      </c>
      <c r="K388" s="34">
        <f t="shared" ca="1" si="631"/>
        <v>264154939.1429241</v>
      </c>
      <c r="L388" s="34">
        <f t="shared" ca="1" si="631"/>
        <v>252528911.73661631</v>
      </c>
      <c r="M388" s="34">
        <f t="shared" ca="1" si="631"/>
        <v>240902884.3303085</v>
      </c>
      <c r="N388" s="34">
        <f t="shared" ca="1" si="631"/>
        <v>229276856.92400068</v>
      </c>
      <c r="O388" s="34">
        <f t="shared" ca="1" si="631"/>
        <v>217650829.51769283</v>
      </c>
      <c r="P388" s="34">
        <f t="shared" ca="1" si="631"/>
        <v>206024802.11138499</v>
      </c>
      <c r="Q388" s="34">
        <f t="shared" ca="1" si="631"/>
        <v>0</v>
      </c>
      <c r="R388" s="34">
        <f t="shared" ca="1" si="631"/>
        <v>0</v>
      </c>
      <c r="S388" s="34">
        <f t="shared" ca="1" si="631"/>
        <v>0</v>
      </c>
      <c r="T388" s="34">
        <f t="shared" ca="1" si="631"/>
        <v>0</v>
      </c>
      <c r="U388" s="34">
        <f t="shared" ca="1" si="631"/>
        <v>0</v>
      </c>
      <c r="V388" s="34">
        <f t="shared" ca="1" si="631"/>
        <v>0</v>
      </c>
      <c r="W388" s="34">
        <f t="shared" ca="1" si="631"/>
        <v>0</v>
      </c>
      <c r="X388" s="34">
        <f t="shared" ca="1" si="631"/>
        <v>0</v>
      </c>
      <c r="Y388" s="34">
        <f t="shared" ca="1" si="631"/>
        <v>0</v>
      </c>
      <c r="Z388" s="34">
        <f t="shared" ca="1" si="631"/>
        <v>0</v>
      </c>
    </row>
    <row r="389" spans="2:26" x14ac:dyDescent="0.35">
      <c r="B389" s="33" t="s">
        <v>404</v>
      </c>
      <c r="D389" s="48">
        <f t="shared" ref="D389:D394" ca="1" si="632">+SUM(F389:Z389)</f>
        <v>275780966.54923189</v>
      </c>
      <c r="E389" s="48"/>
      <c r="F389" s="151">
        <f ca="1">-F360</f>
        <v>51495790.787373006</v>
      </c>
      <c r="G389" s="151">
        <f t="shared" ref="G389:Z389" ca="1" si="633">-G360</f>
        <v>157132229.98279142</v>
      </c>
      <c r="H389" s="151">
        <f t="shared" ca="1" si="633"/>
        <v>67152945.779067457</v>
      </c>
      <c r="I389" s="151">
        <f t="shared" ca="1" si="633"/>
        <v>0</v>
      </c>
      <c r="J389" s="151">
        <f t="shared" ca="1" si="633"/>
        <v>0</v>
      </c>
      <c r="K389" s="151">
        <f t="shared" ca="1" si="633"/>
        <v>0</v>
      </c>
      <c r="L389" s="151">
        <f t="shared" ca="1" si="633"/>
        <v>0</v>
      </c>
      <c r="M389" s="151">
        <f t="shared" ca="1" si="633"/>
        <v>0</v>
      </c>
      <c r="N389" s="151">
        <f t="shared" ca="1" si="633"/>
        <v>0</v>
      </c>
      <c r="O389" s="151">
        <f t="shared" ca="1" si="633"/>
        <v>0</v>
      </c>
      <c r="P389" s="151">
        <f t="shared" ca="1" si="633"/>
        <v>0</v>
      </c>
      <c r="Q389" s="151">
        <f t="shared" ca="1" si="633"/>
        <v>0</v>
      </c>
      <c r="R389" s="151">
        <f t="shared" ca="1" si="633"/>
        <v>0</v>
      </c>
      <c r="S389" s="151">
        <f t="shared" ca="1" si="633"/>
        <v>0</v>
      </c>
      <c r="T389" s="151">
        <f t="shared" ca="1" si="633"/>
        <v>0</v>
      </c>
      <c r="U389" s="151">
        <f t="shared" ca="1" si="633"/>
        <v>0</v>
      </c>
      <c r="V389" s="151">
        <f t="shared" ca="1" si="633"/>
        <v>0</v>
      </c>
      <c r="W389" s="151">
        <f t="shared" ca="1" si="633"/>
        <v>0</v>
      </c>
      <c r="X389" s="151">
        <f t="shared" ca="1" si="633"/>
        <v>0</v>
      </c>
      <c r="Y389" s="151">
        <f t="shared" ca="1" si="633"/>
        <v>0</v>
      </c>
      <c r="Z389" s="151">
        <f t="shared" ca="1" si="633"/>
        <v>0</v>
      </c>
    </row>
    <row r="390" spans="2:26" x14ac:dyDescent="0.35">
      <c r="B390" s="33" t="s">
        <v>251</v>
      </c>
      <c r="D390" s="48">
        <f t="shared" ca="1" si="632"/>
        <v>205784066.13050172</v>
      </c>
      <c r="E390" s="48"/>
      <c r="F390" s="151">
        <f ca="1">IF(F357&lt;=Assumptions!$F$30,F321,0)</f>
        <v>0</v>
      </c>
      <c r="G390" s="151">
        <f ca="1">IF(G357&lt;=Assumptions!$F$30,G321,0)</f>
        <v>0</v>
      </c>
      <c r="H390" s="151">
        <f ca="1">IF(H357&lt;=Assumptions!$F$30,H321,0)</f>
        <v>0</v>
      </c>
      <c r="I390" s="151">
        <f ca="1">IF(I357&lt;=Assumptions!$F$30,I321,0)</f>
        <v>12156531.919531263</v>
      </c>
      <c r="J390" s="151">
        <f ca="1">IF(J357&lt;=Assumptions!$F$30,J321,0)</f>
        <v>25299756.984119631</v>
      </c>
      <c r="K390" s="151">
        <f ca="1">IF(K357&lt;=Assumptions!$F$30,K321,0)</f>
        <v>25918223.302751362</v>
      </c>
      <c r="L390" s="151">
        <f ca="1">IF(L357&lt;=Assumptions!$F$30,L321,0)</f>
        <v>27699751.454203915</v>
      </c>
      <c r="M390" s="151">
        <f ca="1">IF(M357&lt;=Assumptions!$F$30,M321,0)</f>
        <v>28026377.681195293</v>
      </c>
      <c r="N390" s="151">
        <f ca="1">IF(N357&lt;=Assumptions!$F$30,N321,0)</f>
        <v>28470939.905564785</v>
      </c>
      <c r="O390" s="151">
        <f ca="1">IF(O357&lt;=Assumptions!$F$30,O321,0)</f>
        <v>28926898.728953872</v>
      </c>
      <c r="P390" s="151">
        <f ca="1">IF(P357&lt;=Assumptions!$F$30,P321,0)</f>
        <v>29285586.154181607</v>
      </c>
      <c r="Q390" s="151">
        <f>IF(Q357&lt;=Assumptions!$F$30,Q321,0)</f>
        <v>0</v>
      </c>
      <c r="R390" s="151">
        <f>IF(R357&lt;=Assumptions!$F$30,R321,0)</f>
        <v>0</v>
      </c>
      <c r="S390" s="151">
        <f>IF(S357&lt;=Assumptions!$F$30,S321,0)</f>
        <v>0</v>
      </c>
      <c r="T390" s="151">
        <f>IF(T357&lt;=Assumptions!$F$30,T321,0)</f>
        <v>0</v>
      </c>
      <c r="U390" s="151">
        <f>IF(U357&lt;=Assumptions!$F$30,U321,0)</f>
        <v>0</v>
      </c>
      <c r="V390" s="151">
        <f>IF(V357&lt;=Assumptions!$F$30,V321,0)</f>
        <v>0</v>
      </c>
      <c r="W390" s="151">
        <f>IF(W357&lt;=Assumptions!$F$30,W321,0)</f>
        <v>0</v>
      </c>
      <c r="X390" s="151">
        <f>IF(X357&lt;=Assumptions!$F$30,X321,0)</f>
        <v>0</v>
      </c>
      <c r="Y390" s="151">
        <f>IF(Y357&lt;=Assumptions!$F$30,Y321,0)</f>
        <v>0</v>
      </c>
      <c r="Z390" s="151">
        <f>IF(Z357&lt;=Assumptions!$F$30,Z321,0)</f>
        <v>0</v>
      </c>
    </row>
    <row r="391" spans="2:26" x14ac:dyDescent="0.35">
      <c r="B391" s="33" t="s">
        <v>416</v>
      </c>
      <c r="D391" s="48">
        <f t="shared" ca="1" si="632"/>
        <v>-81382191.844154909</v>
      </c>
      <c r="E391" s="48"/>
      <c r="F391" s="151">
        <f>-IF(AND(F357&gt;Assumptions!$F$26,F357&lt;=Assumptions!$F$30),Budget!$H$82*Assumptions!$M$194/Assumptions!$M$193,0)</f>
        <v>0</v>
      </c>
      <c r="G391" s="151">
        <f>-IF(AND(G357&gt;Assumptions!$F$26,G357&lt;=Assumptions!$F$30),Budget!$H$82*Assumptions!$M$194/Assumptions!$M$193,0)</f>
        <v>0</v>
      </c>
      <c r="H391" s="151">
        <f>-IF(AND(H357&gt;Assumptions!$F$26,H357&lt;=Assumptions!$F$30),Budget!$H$82*Assumptions!$M$194/Assumptions!$M$193,0)</f>
        <v>0</v>
      </c>
      <c r="I391" s="151">
        <f>-IF(AND(I357&gt;Assumptions!$F$26,I357&lt;=Assumptions!$F$30),Budget!$H$82*Assumptions!$M$194/Assumptions!$M$193,0)</f>
        <v>0</v>
      </c>
      <c r="J391" s="151">
        <f ca="1">-IF(AND(J357&gt;Assumptions!$F$26,J357&lt;=Assumptions!$F$30),Budget!$H$82*Assumptions!$M$194/Assumptions!$M$193,0)</f>
        <v>-11626027.406307843</v>
      </c>
      <c r="K391" s="151">
        <f ca="1">-IF(AND(K357&gt;Assumptions!$F$26,K357&lt;=Assumptions!$F$30),Budget!$H$82*Assumptions!$M$194/Assumptions!$M$193,0)</f>
        <v>-11626027.406307843</v>
      </c>
      <c r="L391" s="151">
        <f ca="1">-IF(AND(L357&gt;Assumptions!$F$26,L357&lt;=Assumptions!$F$30),Budget!$H$82*Assumptions!$M$194/Assumptions!$M$193,0)</f>
        <v>-11626027.406307843</v>
      </c>
      <c r="M391" s="151">
        <f ca="1">-IF(AND(M357&gt;Assumptions!$F$26,M357&lt;=Assumptions!$F$30),Budget!$H$82*Assumptions!$M$194/Assumptions!$M$193,0)</f>
        <v>-11626027.406307843</v>
      </c>
      <c r="N391" s="151">
        <f ca="1">-IF(AND(N357&gt;Assumptions!$F$26,N357&lt;=Assumptions!$F$30),Budget!$H$82*Assumptions!$M$194/Assumptions!$M$193,0)</f>
        <v>-11626027.406307843</v>
      </c>
      <c r="O391" s="151">
        <f ca="1">-IF(AND(O357&gt;Assumptions!$F$26,O357&lt;=Assumptions!$F$30),Budget!$H$82*Assumptions!$M$194/Assumptions!$M$193,0)</f>
        <v>-11626027.406307843</v>
      </c>
      <c r="P391" s="151">
        <f ca="1">-IF(AND(P357&gt;Assumptions!$F$26,P357&lt;=Assumptions!$F$30),Budget!$H$82*Assumptions!$M$194/Assumptions!$M$193,0)</f>
        <v>-11626027.406307843</v>
      </c>
      <c r="Q391" s="151">
        <f>-IF(AND(Q357&gt;Assumptions!$F$26,Q357&lt;=Assumptions!$F$30),Budget!$H$82*Assumptions!$M$194/Assumptions!$M$193,0)</f>
        <v>0</v>
      </c>
      <c r="R391" s="151">
        <f>-IF(AND(R357&gt;Assumptions!$F$26,R357&lt;=Assumptions!$F$30),Budget!$H$82*Assumptions!$M$194/Assumptions!$M$193,0)</f>
        <v>0</v>
      </c>
      <c r="S391" s="151">
        <f>-IF(AND(S357&gt;Assumptions!$F$26,S357&lt;=Assumptions!$F$30),Budget!$H$82*Assumptions!$M$194/Assumptions!$M$193,0)</f>
        <v>0</v>
      </c>
      <c r="T391" s="151">
        <f>-IF(AND(T357&gt;Assumptions!$F$26,T357&lt;=Assumptions!$F$30),Budget!$H$82*Assumptions!$M$194/Assumptions!$M$193,0)</f>
        <v>0</v>
      </c>
      <c r="U391" s="151">
        <f>-IF(AND(U357&gt;Assumptions!$F$26,U357&lt;=Assumptions!$F$30),Budget!$H$82*Assumptions!$M$194/Assumptions!$M$193,0)</f>
        <v>0</v>
      </c>
      <c r="V391" s="151">
        <f>-IF(AND(V357&gt;Assumptions!$F$26,V357&lt;=Assumptions!$F$30),Budget!$H$82*Assumptions!$M$194/Assumptions!$M$193,0)</f>
        <v>0</v>
      </c>
      <c r="W391" s="151">
        <f>-IF(AND(W357&gt;Assumptions!$F$26,W357&lt;=Assumptions!$F$30),Budget!$H$82*Assumptions!$M$194/Assumptions!$M$193,0)</f>
        <v>0</v>
      </c>
      <c r="X391" s="151">
        <f>-IF(AND(X357&gt;Assumptions!$F$26,X357&lt;=Assumptions!$F$30),Budget!$H$82*Assumptions!$M$194/Assumptions!$M$193,0)</f>
        <v>0</v>
      </c>
      <c r="Y391" s="151">
        <f>-IF(AND(Y357&gt;Assumptions!$F$26,Y357&lt;=Assumptions!$F$30),Budget!$H$82*Assumptions!$M$194/Assumptions!$M$193,0)</f>
        <v>0</v>
      </c>
      <c r="Z391" s="151">
        <f>-IF(AND(Z357&gt;Assumptions!$F$26,Z357&lt;=Assumptions!$F$30),Budget!$H$82*Assumptions!$M$194/Assumptions!$M$193,0)</f>
        <v>0</v>
      </c>
    </row>
    <row r="392" spans="2:26" x14ac:dyDescent="0.35">
      <c r="B392" s="33" t="s">
        <v>407</v>
      </c>
      <c r="D392" s="48">
        <f t="shared" ca="1" si="632"/>
        <v>-205784066.13050172</v>
      </c>
      <c r="E392" s="48"/>
      <c r="F392" s="151">
        <f ca="1">-F364</f>
        <v>0</v>
      </c>
      <c r="G392" s="151">
        <f t="shared" ref="G392:Z392" ca="1" si="634">-G364</f>
        <v>0</v>
      </c>
      <c r="H392" s="151">
        <f t="shared" ca="1" si="634"/>
        <v>0</v>
      </c>
      <c r="I392" s="151">
        <f t="shared" ca="1" si="634"/>
        <v>-12156531.919531263</v>
      </c>
      <c r="J392" s="151">
        <f t="shared" ca="1" si="634"/>
        <v>-25299756.984119631</v>
      </c>
      <c r="K392" s="151">
        <f t="shared" ca="1" si="634"/>
        <v>-25918223.302751362</v>
      </c>
      <c r="L392" s="151">
        <f t="shared" ca="1" si="634"/>
        <v>-27699751.454203915</v>
      </c>
      <c r="M392" s="151">
        <f t="shared" ca="1" si="634"/>
        <v>-28026377.681195293</v>
      </c>
      <c r="N392" s="151">
        <f t="shared" ca="1" si="634"/>
        <v>-28470939.905564785</v>
      </c>
      <c r="O392" s="151">
        <f t="shared" ca="1" si="634"/>
        <v>-28926898.728953872</v>
      </c>
      <c r="P392" s="151">
        <f t="shared" ca="1" si="634"/>
        <v>-29285586.154181607</v>
      </c>
      <c r="Q392" s="151">
        <f t="shared" si="634"/>
        <v>0</v>
      </c>
      <c r="R392" s="151">
        <f t="shared" si="634"/>
        <v>0</v>
      </c>
      <c r="S392" s="151">
        <f t="shared" si="634"/>
        <v>0</v>
      </c>
      <c r="T392" s="151">
        <f t="shared" si="634"/>
        <v>0</v>
      </c>
      <c r="U392" s="151">
        <f t="shared" si="634"/>
        <v>0</v>
      </c>
      <c r="V392" s="151">
        <f t="shared" si="634"/>
        <v>0</v>
      </c>
      <c r="W392" s="151">
        <f t="shared" si="634"/>
        <v>0</v>
      </c>
      <c r="X392" s="151">
        <f t="shared" si="634"/>
        <v>0</v>
      </c>
      <c r="Y392" s="151">
        <f t="shared" si="634"/>
        <v>0</v>
      </c>
      <c r="Z392" s="151">
        <f t="shared" si="634"/>
        <v>0</v>
      </c>
    </row>
    <row r="393" spans="2:26" x14ac:dyDescent="0.35">
      <c r="B393" s="33" t="s">
        <v>409</v>
      </c>
      <c r="D393" s="48">
        <f t="shared" ca="1" si="632"/>
        <v>-457714541.7062313</v>
      </c>
      <c r="E393" s="48"/>
      <c r="F393" s="151">
        <f t="shared" ref="F393:Z393" si="635">-F365</f>
        <v>0</v>
      </c>
      <c r="G393" s="151">
        <f t="shared" si="635"/>
        <v>0</v>
      </c>
      <c r="H393" s="151">
        <f t="shared" si="635"/>
        <v>0</v>
      </c>
      <c r="I393" s="151">
        <f t="shared" si="635"/>
        <v>0</v>
      </c>
      <c r="J393" s="151">
        <f t="shared" si="635"/>
        <v>0</v>
      </c>
      <c r="K393" s="151">
        <f t="shared" si="635"/>
        <v>0</v>
      </c>
      <c r="L393" s="151">
        <f t="shared" si="635"/>
        <v>0</v>
      </c>
      <c r="M393" s="151">
        <f t="shared" si="635"/>
        <v>0</v>
      </c>
      <c r="N393" s="151">
        <f t="shared" si="635"/>
        <v>0</v>
      </c>
      <c r="O393" s="151">
        <f t="shared" si="635"/>
        <v>0</v>
      </c>
      <c r="P393" s="151">
        <f t="shared" ca="1" si="635"/>
        <v>-457714541.7062313</v>
      </c>
      <c r="Q393" s="151">
        <f t="shared" si="635"/>
        <v>0</v>
      </c>
      <c r="R393" s="151">
        <f t="shared" si="635"/>
        <v>0</v>
      </c>
      <c r="S393" s="151">
        <f t="shared" si="635"/>
        <v>0</v>
      </c>
      <c r="T393" s="151">
        <f t="shared" si="635"/>
        <v>0</v>
      </c>
      <c r="U393" s="151">
        <f t="shared" si="635"/>
        <v>0</v>
      </c>
      <c r="V393" s="151">
        <f t="shared" si="635"/>
        <v>0</v>
      </c>
      <c r="W393" s="151">
        <f t="shared" si="635"/>
        <v>0</v>
      </c>
      <c r="X393" s="151">
        <f t="shared" si="635"/>
        <v>0</v>
      </c>
      <c r="Y393" s="151">
        <f t="shared" si="635"/>
        <v>0</v>
      </c>
      <c r="Z393" s="151">
        <f t="shared" si="635"/>
        <v>0</v>
      </c>
    </row>
    <row r="394" spans="2:26" x14ac:dyDescent="0.35">
      <c r="B394" s="33" t="s">
        <v>420</v>
      </c>
      <c r="D394" s="48">
        <f t="shared" ca="1" si="632"/>
        <v>263315767.00115415</v>
      </c>
      <c r="E394" s="48"/>
      <c r="F394" s="151">
        <f>-IF(YEAR(F357)=YEAR(Assumptions!$F$30),SUM(F388:F393),0)</f>
        <v>0</v>
      </c>
      <c r="G394" s="151">
        <f>-IF(YEAR(G357)=YEAR(Assumptions!$F$30),SUM(G388:G393),0)</f>
        <v>0</v>
      </c>
      <c r="H394" s="151">
        <f>-IF(YEAR(H357)=YEAR(Assumptions!$F$30),SUM(H388:H393),0)</f>
        <v>0</v>
      </c>
      <c r="I394" s="151">
        <f>-IF(YEAR(I357)=YEAR(Assumptions!$F$30),SUM(I388:I393),0)</f>
        <v>0</v>
      </c>
      <c r="J394" s="151">
        <f>-IF(YEAR(J357)=YEAR(Assumptions!$F$30),SUM(J388:J393),0)</f>
        <v>0</v>
      </c>
      <c r="K394" s="151">
        <f>-IF(YEAR(K357)=YEAR(Assumptions!$F$30),SUM(K388:K393),0)</f>
        <v>0</v>
      </c>
      <c r="L394" s="151">
        <f>-IF(YEAR(L357)=YEAR(Assumptions!$F$30),SUM(L388:L393),0)</f>
        <v>0</v>
      </c>
      <c r="M394" s="151">
        <f>-IF(YEAR(M357)=YEAR(Assumptions!$F$30),SUM(M388:M393),0)</f>
        <v>0</v>
      </c>
      <c r="N394" s="151">
        <f>-IF(YEAR(N357)=YEAR(Assumptions!$F$30),SUM(N388:N393),0)</f>
        <v>0</v>
      </c>
      <c r="O394" s="151">
        <f>-IF(YEAR(O357)=YEAR(Assumptions!$F$30),SUM(O388:O393),0)</f>
        <v>0</v>
      </c>
      <c r="P394" s="151">
        <f ca="1">-IF(YEAR(P357)=YEAR(Assumptions!$F$30),SUM(P388:P393),0)</f>
        <v>263315767.00115415</v>
      </c>
      <c r="Q394" s="151">
        <f>-IF(YEAR(Q357)=YEAR(Assumptions!$F$30),SUM(Q388:Q393),0)</f>
        <v>0</v>
      </c>
      <c r="R394" s="151">
        <f>-IF(YEAR(R357)=YEAR(Assumptions!$F$30),SUM(R388:R393),0)</f>
        <v>0</v>
      </c>
      <c r="S394" s="151">
        <f>-IF(YEAR(S357)=YEAR(Assumptions!$F$30),SUM(S388:S393),0)</f>
        <v>0</v>
      </c>
      <c r="T394" s="151">
        <f>-IF(YEAR(T357)=YEAR(Assumptions!$F$30),SUM(T388:T393),0)</f>
        <v>0</v>
      </c>
      <c r="U394" s="151">
        <f>-IF(YEAR(U357)=YEAR(Assumptions!$F$30),SUM(U388:U393),0)</f>
        <v>0</v>
      </c>
      <c r="V394" s="151">
        <f>-IF(YEAR(V357)=YEAR(Assumptions!$F$30),SUM(V388:V393),0)</f>
        <v>0</v>
      </c>
      <c r="W394" s="151">
        <f>-IF(YEAR(W357)=YEAR(Assumptions!$F$30),SUM(W388:W393),0)</f>
        <v>0</v>
      </c>
      <c r="X394" s="151">
        <f>-IF(YEAR(X357)=YEAR(Assumptions!$F$30),SUM(X388:X393),0)</f>
        <v>0</v>
      </c>
      <c r="Y394" s="151">
        <f>-IF(YEAR(Y357)=YEAR(Assumptions!$F$30),SUM(Y388:Y393),0)</f>
        <v>0</v>
      </c>
      <c r="Z394" s="151">
        <f>-IF(YEAR(Z357)=YEAR(Assumptions!$F$30),SUM(Z388:Z393),0)</f>
        <v>0</v>
      </c>
    </row>
    <row r="395" spans="2:26" x14ac:dyDescent="0.35">
      <c r="B395" s="137" t="s">
        <v>408</v>
      </c>
      <c r="C395" s="137"/>
      <c r="D395" s="36">
        <f t="shared" ref="D395" ca="1" si="636">+SUM(F395:Z395)</f>
        <v>2222224968.4189286</v>
      </c>
      <c r="E395" s="129"/>
      <c r="F395" s="129">
        <f ca="1">+SUM(F388:F394)</f>
        <v>51495790.787373006</v>
      </c>
      <c r="G395" s="129">
        <f t="shared" ref="G395:Z395" ca="1" si="637">+SUM(G388:G394)</f>
        <v>208628020.77016443</v>
      </c>
      <c r="H395" s="129">
        <f t="shared" ca="1" si="637"/>
        <v>275780966.54923189</v>
      </c>
      <c r="I395" s="129">
        <f t="shared" ca="1" si="637"/>
        <v>275780966.54923189</v>
      </c>
      <c r="J395" s="129">
        <f t="shared" ca="1" si="637"/>
        <v>264154939.1429241</v>
      </c>
      <c r="K395" s="129">
        <f t="shared" ca="1" si="637"/>
        <v>252528911.73661631</v>
      </c>
      <c r="L395" s="129">
        <f t="shared" ca="1" si="637"/>
        <v>240902884.3303085</v>
      </c>
      <c r="M395" s="129">
        <f t="shared" ca="1" si="637"/>
        <v>229276856.92400068</v>
      </c>
      <c r="N395" s="129">
        <f t="shared" ca="1" si="637"/>
        <v>217650829.51769283</v>
      </c>
      <c r="O395" s="129">
        <f t="shared" ca="1" si="637"/>
        <v>206024802.11138499</v>
      </c>
      <c r="P395" s="129">
        <f t="shared" ca="1" si="637"/>
        <v>0</v>
      </c>
      <c r="Q395" s="129">
        <f t="shared" ca="1" si="637"/>
        <v>0</v>
      </c>
      <c r="R395" s="129">
        <f t="shared" ca="1" si="637"/>
        <v>0</v>
      </c>
      <c r="S395" s="129">
        <f t="shared" ca="1" si="637"/>
        <v>0</v>
      </c>
      <c r="T395" s="129">
        <f t="shared" ca="1" si="637"/>
        <v>0</v>
      </c>
      <c r="U395" s="129">
        <f t="shared" ca="1" si="637"/>
        <v>0</v>
      </c>
      <c r="V395" s="129">
        <f t="shared" ca="1" si="637"/>
        <v>0</v>
      </c>
      <c r="W395" s="129">
        <f t="shared" ca="1" si="637"/>
        <v>0</v>
      </c>
      <c r="X395" s="129">
        <f t="shared" ca="1" si="637"/>
        <v>0</v>
      </c>
      <c r="Y395" s="129">
        <f t="shared" ca="1" si="637"/>
        <v>0</v>
      </c>
      <c r="Z395" s="129">
        <f t="shared" ca="1" si="637"/>
        <v>0</v>
      </c>
    </row>
    <row r="397" spans="2:26" x14ac:dyDescent="0.35">
      <c r="B397" s="37" t="s">
        <v>643</v>
      </c>
      <c r="C397" s="38"/>
      <c r="D397" s="38"/>
      <c r="E397" s="38"/>
      <c r="F397" s="136">
        <f>+F357</f>
        <v>44196</v>
      </c>
      <c r="G397" s="136">
        <f t="shared" ref="G397:Z397" si="638">+G357</f>
        <v>44561</v>
      </c>
      <c r="H397" s="136">
        <f t="shared" si="638"/>
        <v>44926</v>
      </c>
      <c r="I397" s="136">
        <f t="shared" si="638"/>
        <v>45291</v>
      </c>
      <c r="J397" s="136">
        <f t="shared" si="638"/>
        <v>45657</v>
      </c>
      <c r="K397" s="136">
        <f t="shared" si="638"/>
        <v>46022</v>
      </c>
      <c r="L397" s="136">
        <f t="shared" si="638"/>
        <v>46387</v>
      </c>
      <c r="M397" s="136">
        <f t="shared" si="638"/>
        <v>46752</v>
      </c>
      <c r="N397" s="136">
        <f t="shared" si="638"/>
        <v>47118</v>
      </c>
      <c r="O397" s="136">
        <f t="shared" si="638"/>
        <v>47483</v>
      </c>
      <c r="P397" s="136">
        <f t="shared" si="638"/>
        <v>47848</v>
      </c>
      <c r="Q397" s="136">
        <f t="shared" si="638"/>
        <v>48213</v>
      </c>
      <c r="R397" s="136">
        <f t="shared" si="638"/>
        <v>48579</v>
      </c>
      <c r="S397" s="136">
        <f t="shared" si="638"/>
        <v>48944</v>
      </c>
      <c r="T397" s="136">
        <f t="shared" si="638"/>
        <v>49309</v>
      </c>
      <c r="U397" s="136">
        <f t="shared" si="638"/>
        <v>49674</v>
      </c>
      <c r="V397" s="136">
        <f t="shared" si="638"/>
        <v>50040</v>
      </c>
      <c r="W397" s="136">
        <f t="shared" si="638"/>
        <v>50405</v>
      </c>
      <c r="X397" s="136">
        <f t="shared" si="638"/>
        <v>50770</v>
      </c>
      <c r="Y397" s="136">
        <f t="shared" si="638"/>
        <v>51135</v>
      </c>
      <c r="Z397" s="136">
        <f t="shared" si="638"/>
        <v>51501</v>
      </c>
    </row>
    <row r="398" spans="2:26" x14ac:dyDescent="0.35">
      <c r="B398" s="119"/>
    </row>
    <row r="399" spans="2:26" x14ac:dyDescent="0.35">
      <c r="B399" s="148" t="s">
        <v>653</v>
      </c>
      <c r="F399" s="148">
        <v>0</v>
      </c>
      <c r="G399" s="148">
        <f>+F399+1</f>
        <v>1</v>
      </c>
      <c r="H399" s="148">
        <f t="shared" ref="H399" si="639">+G399+1</f>
        <v>2</v>
      </c>
      <c r="I399" s="148">
        <f t="shared" ref="I399" si="640">+H399+1</f>
        <v>3</v>
      </c>
      <c r="J399" s="148">
        <f t="shared" ref="J399" si="641">+I399+1</f>
        <v>4</v>
      </c>
      <c r="K399" s="148">
        <f t="shared" ref="K399" si="642">+J399+1</f>
        <v>5</v>
      </c>
      <c r="L399" s="148">
        <f t="shared" ref="L399" si="643">+K399+1</f>
        <v>6</v>
      </c>
      <c r="M399" s="148">
        <f t="shared" ref="M399" si="644">+L399+1</f>
        <v>7</v>
      </c>
      <c r="N399" s="148">
        <f t="shared" ref="N399" si="645">+M399+1</f>
        <v>8</v>
      </c>
      <c r="O399" s="148">
        <f t="shared" ref="O399" si="646">+N399+1</f>
        <v>9</v>
      </c>
      <c r="P399" s="148">
        <f t="shared" ref="P399" si="647">+O399+1</f>
        <v>10</v>
      </c>
      <c r="Q399" s="148">
        <f t="shared" ref="Q399" si="648">+P399+1</f>
        <v>11</v>
      </c>
      <c r="R399" s="148">
        <f t="shared" ref="R399" si="649">+Q399+1</f>
        <v>12</v>
      </c>
      <c r="S399" s="148">
        <f t="shared" ref="S399" si="650">+R399+1</f>
        <v>13</v>
      </c>
      <c r="T399" s="148">
        <f t="shared" ref="T399" si="651">+S399+1</f>
        <v>14</v>
      </c>
      <c r="U399" s="148">
        <f t="shared" ref="U399" si="652">+T399+1</f>
        <v>15</v>
      </c>
      <c r="V399" s="148">
        <f t="shared" ref="V399" si="653">+U399+1</f>
        <v>16</v>
      </c>
      <c r="W399" s="148">
        <f t="shared" ref="W399" si="654">+V399+1</f>
        <v>17</v>
      </c>
      <c r="X399" s="148">
        <f t="shared" ref="X399" si="655">+W399+1</f>
        <v>18</v>
      </c>
      <c r="Y399" s="148">
        <f t="shared" ref="Y399" si="656">+X399+1</f>
        <v>19</v>
      </c>
      <c r="Z399" s="148">
        <f t="shared" ref="Z399" si="657">+Y399+1</f>
        <v>20</v>
      </c>
    </row>
    <row r="400" spans="2:26" x14ac:dyDescent="0.35">
      <c r="B400" s="33" t="s">
        <v>404</v>
      </c>
      <c r="D400" s="48"/>
      <c r="E400" s="48"/>
      <c r="F400" s="34">
        <f ca="1">+F$307</f>
        <v>-51495790.787373006</v>
      </c>
      <c r="G400" s="34">
        <f t="shared" ref="G400:Z400" ca="1" si="658">+G$307</f>
        <v>-12663221.150123715</v>
      </c>
      <c r="H400" s="34">
        <f t="shared" ca="1" si="658"/>
        <v>0</v>
      </c>
      <c r="I400" s="34">
        <f t="shared" ca="1" si="658"/>
        <v>0</v>
      </c>
      <c r="J400" s="34">
        <f t="shared" ca="1" si="658"/>
        <v>0</v>
      </c>
      <c r="K400" s="34">
        <f t="shared" ca="1" si="658"/>
        <v>0</v>
      </c>
      <c r="L400" s="34">
        <f t="shared" ca="1" si="658"/>
        <v>0</v>
      </c>
      <c r="M400" s="34">
        <f t="shared" ca="1" si="658"/>
        <v>0</v>
      </c>
      <c r="N400" s="34">
        <f t="shared" ca="1" si="658"/>
        <v>0</v>
      </c>
      <c r="O400" s="34">
        <f t="shared" ca="1" si="658"/>
        <v>0</v>
      </c>
      <c r="P400" s="34">
        <f t="shared" ca="1" si="658"/>
        <v>0</v>
      </c>
      <c r="Q400" s="34">
        <f t="shared" ca="1" si="658"/>
        <v>0</v>
      </c>
      <c r="R400" s="34">
        <f t="shared" ca="1" si="658"/>
        <v>0</v>
      </c>
      <c r="S400" s="34">
        <f t="shared" ca="1" si="658"/>
        <v>0</v>
      </c>
      <c r="T400" s="34">
        <f t="shared" ca="1" si="658"/>
        <v>0</v>
      </c>
      <c r="U400" s="34">
        <f t="shared" ca="1" si="658"/>
        <v>0</v>
      </c>
      <c r="V400" s="34">
        <f t="shared" ca="1" si="658"/>
        <v>0</v>
      </c>
      <c r="W400" s="34">
        <f t="shared" ca="1" si="658"/>
        <v>0</v>
      </c>
      <c r="X400" s="34">
        <f t="shared" ca="1" si="658"/>
        <v>0</v>
      </c>
      <c r="Y400" s="34">
        <f t="shared" ca="1" si="658"/>
        <v>0</v>
      </c>
      <c r="Z400" s="34">
        <f t="shared" ca="1" si="658"/>
        <v>0</v>
      </c>
    </row>
    <row r="401" spans="2:26" x14ac:dyDescent="0.35">
      <c r="B401" s="33" t="s">
        <v>422</v>
      </c>
      <c r="D401" s="48"/>
      <c r="E401" s="48"/>
      <c r="F401" s="151">
        <v>0</v>
      </c>
      <c r="G401" s="151">
        <v>0</v>
      </c>
      <c r="H401" s="151">
        <v>0</v>
      </c>
      <c r="I401" s="151">
        <v>0</v>
      </c>
      <c r="J401" s="151">
        <v>0</v>
      </c>
      <c r="K401" s="151">
        <v>0</v>
      </c>
      <c r="L401" s="151">
        <v>0</v>
      </c>
      <c r="M401" s="151">
        <v>0</v>
      </c>
      <c r="N401" s="151">
        <v>0</v>
      </c>
      <c r="O401" s="151">
        <v>0</v>
      </c>
      <c r="P401" s="151">
        <v>0</v>
      </c>
      <c r="Q401" s="151">
        <v>0</v>
      </c>
      <c r="R401" s="151">
        <v>0</v>
      </c>
      <c r="S401" s="151">
        <v>0</v>
      </c>
      <c r="T401" s="151">
        <v>0</v>
      </c>
      <c r="U401" s="151">
        <v>0</v>
      </c>
      <c r="V401" s="151">
        <v>0</v>
      </c>
      <c r="W401" s="151">
        <v>0</v>
      </c>
      <c r="X401" s="151">
        <v>0</v>
      </c>
      <c r="Y401" s="151">
        <v>0</v>
      </c>
      <c r="Z401" s="151">
        <v>0</v>
      </c>
    </row>
    <row r="402" spans="2:26" x14ac:dyDescent="0.35">
      <c r="B402" s="33" t="s">
        <v>423</v>
      </c>
      <c r="D402" s="48"/>
      <c r="E402" s="48"/>
      <c r="F402" s="151">
        <v>0</v>
      </c>
      <c r="G402" s="151">
        <v>0</v>
      </c>
      <c r="H402" s="151">
        <v>0</v>
      </c>
      <c r="I402" s="151">
        <v>0</v>
      </c>
      <c r="J402" s="151">
        <v>0</v>
      </c>
      <c r="K402" s="151">
        <v>0</v>
      </c>
      <c r="L402" s="151">
        <v>0</v>
      </c>
      <c r="M402" s="151">
        <v>0</v>
      </c>
      <c r="N402" s="151">
        <v>0</v>
      </c>
      <c r="O402" s="151">
        <v>0</v>
      </c>
      <c r="P402" s="151">
        <v>0</v>
      </c>
      <c r="Q402" s="151">
        <v>0</v>
      </c>
      <c r="R402" s="151">
        <v>0</v>
      </c>
      <c r="S402" s="151">
        <v>0</v>
      </c>
      <c r="T402" s="151">
        <v>0</v>
      </c>
      <c r="U402" s="151">
        <v>0</v>
      </c>
      <c r="V402" s="151">
        <v>0</v>
      </c>
      <c r="W402" s="151">
        <v>0</v>
      </c>
      <c r="X402" s="151">
        <v>0</v>
      </c>
      <c r="Y402" s="151">
        <v>0</v>
      </c>
      <c r="Z402" s="151">
        <v>0</v>
      </c>
    </row>
    <row r="403" spans="2:26" x14ac:dyDescent="0.35">
      <c r="B403" s="33" t="s">
        <v>648</v>
      </c>
      <c r="D403" s="48"/>
      <c r="E403" s="48"/>
      <c r="F403" s="151">
        <f ca="1">-SUM(F430:F431)*Assumptions!$M$192</f>
        <v>0</v>
      </c>
      <c r="G403" s="151">
        <f ca="1">-SUM(G430:G431)*Assumptions!$M$192</f>
        <v>0</v>
      </c>
      <c r="H403" s="151">
        <f ca="1">-SUM(H430:H431)*Assumptions!$M$192</f>
        <v>0</v>
      </c>
      <c r="I403" s="151">
        <f ca="1">-SUM(I430:I431)*Assumptions!$M$192</f>
        <v>1133140.576415865</v>
      </c>
      <c r="J403" s="151">
        <f ca="1">-SUM(J430:J431)*Assumptions!$M$192</f>
        <v>780824.68921226764</v>
      </c>
      <c r="K403" s="151">
        <f ca="1">-SUM(K430:K431)*Assumptions!$M$192</f>
        <v>615051.59870221163</v>
      </c>
      <c r="L403" s="151">
        <f ca="1">-SUM(L430:L431)*Assumptions!$M$192</f>
        <v>202702.33766595231</v>
      </c>
      <c r="M403" s="151">
        <f ca="1">-SUM(M430:M431)*Assumptions!$M$192</f>
        <v>93397.638066510495</v>
      </c>
      <c r="N403" s="151">
        <f ca="1">-SUM(N430:N431)*Assumptions!$M$192</f>
        <v>-43319.978457866848</v>
      </c>
      <c r="O403" s="151">
        <f ca="1">-SUM(O430:O431)*Assumptions!$M$192</f>
        <v>-185249.25148779972</v>
      </c>
      <c r="P403" s="151">
        <f ca="1">-SUM(P430:P431)*Assumptions!$M$192</f>
        <v>-309753.0957115331</v>
      </c>
      <c r="Q403" s="151">
        <f>-SUM(Q430:Q431)*Assumptions!$M$192</f>
        <v>0</v>
      </c>
      <c r="R403" s="151">
        <f>-SUM(R430:R431)*Assumptions!$M$192</f>
        <v>0</v>
      </c>
      <c r="S403" s="151">
        <f>-SUM(S430:S431)*Assumptions!$M$192</f>
        <v>0</v>
      </c>
      <c r="T403" s="151">
        <f>-SUM(T430:T431)*Assumptions!$M$192</f>
        <v>0</v>
      </c>
      <c r="U403" s="151">
        <f>-SUM(U430:U431)*Assumptions!$M$192</f>
        <v>0</v>
      </c>
      <c r="V403" s="151">
        <f>-SUM(V430:V431)*Assumptions!$M$192</f>
        <v>0</v>
      </c>
      <c r="W403" s="151">
        <f>-SUM(W430:W431)*Assumptions!$M$192</f>
        <v>0</v>
      </c>
      <c r="X403" s="151">
        <f>-SUM(X430:X431)*Assumptions!$M$192</f>
        <v>0</v>
      </c>
      <c r="Y403" s="151">
        <f>-SUM(Y430:Y431)*Assumptions!$M$192</f>
        <v>0</v>
      </c>
      <c r="Z403" s="151">
        <f>-SUM(Z430:Z431)*Assumptions!$M$192</f>
        <v>0</v>
      </c>
    </row>
    <row r="404" spans="2:26" x14ac:dyDescent="0.35">
      <c r="B404" s="33" t="s">
        <v>650</v>
      </c>
      <c r="D404" s="48"/>
      <c r="E404" s="48"/>
      <c r="F404" s="151">
        <f ca="1">+IF(YEAR(F$140)&lt;=YEAR(Assumptions!$F$30),F267+F222+F152,0)</f>
        <v>0</v>
      </c>
      <c r="G404" s="151">
        <f ca="1">+IF(YEAR(G$140)&lt;=YEAR(Assumptions!$F$30),G267+G222+G152,0)</f>
        <v>0</v>
      </c>
      <c r="H404" s="151">
        <f ca="1">+IF(YEAR(H$140)&lt;=YEAR(Assumptions!$F$30),H267+H222+H152,0)</f>
        <v>0</v>
      </c>
      <c r="I404" s="151">
        <f ca="1">+IF(YEAR(I$140)&lt;=YEAR(Assumptions!$F$30),I267+I222+I152,0)</f>
        <v>-10079580.87596829</v>
      </c>
      <c r="J404" s="151">
        <f ca="1">+IF(YEAR(J$140)&lt;=YEAR(Assumptions!$F$30),J267+J222+J152,0)</f>
        <v>5278132.2857078519</v>
      </c>
      <c r="K404" s="151">
        <f ca="1">+IF(YEAR(K$140)&lt;=YEAR(Assumptions!$F$30),K267+K222+K152,0)</f>
        <v>5896598.6043395866</v>
      </c>
      <c r="L404" s="151">
        <f ca="1">+IF(YEAR(L$140)&lt;=YEAR(Assumptions!$F$30),L267+L222+L152,0)</f>
        <v>7678126.75579214</v>
      </c>
      <c r="M404" s="151">
        <f ca="1">+IF(YEAR(M$140)&lt;=YEAR(Assumptions!$F$30),M267+M222+M152,0)</f>
        <v>8004752.9827835169</v>
      </c>
      <c r="N404" s="151">
        <f ca="1">+IF(YEAR(N$140)&lt;=YEAR(Assumptions!$F$30),N267+N222+N152,0)</f>
        <v>8449315.2071530111</v>
      </c>
      <c r="O404" s="151">
        <f ca="1">+IF(YEAR(O$140)&lt;=YEAR(Assumptions!$F$30),O267+O222+O152,0)</f>
        <v>8905274.030542098</v>
      </c>
      <c r="P404" s="151">
        <f ca="1">+IF(YEAR(P$140)&lt;=YEAR(Assumptions!$F$30),P267+P222+P152,0)</f>
        <v>9263961.4557698313</v>
      </c>
      <c r="Q404" s="151">
        <f>+IF(YEAR(Q$140)&lt;=YEAR(Assumptions!$F$30),Q267+Q222+Q152,0)</f>
        <v>0</v>
      </c>
      <c r="R404" s="151">
        <f>+IF(YEAR(R$140)&lt;=YEAR(Assumptions!$F$30),R267+R222+R152,0)</f>
        <v>0</v>
      </c>
      <c r="S404" s="151">
        <f>+IF(YEAR(S$140)&lt;=YEAR(Assumptions!$F$30),S267+S222+S152,0)</f>
        <v>0</v>
      </c>
      <c r="T404" s="151">
        <f>+IF(YEAR(T$140)&lt;=YEAR(Assumptions!$F$30),T267+T222+T152,0)</f>
        <v>0</v>
      </c>
      <c r="U404" s="151">
        <f>+IF(YEAR(U$140)&lt;=YEAR(Assumptions!$F$30),U267+U222+U152,0)</f>
        <v>0</v>
      </c>
      <c r="V404" s="151">
        <f>+IF(YEAR(V$140)&lt;=YEAR(Assumptions!$F$30),V267+V222+V152,0)</f>
        <v>0</v>
      </c>
      <c r="W404" s="151">
        <f>+IF(YEAR(W$140)&lt;=YEAR(Assumptions!$F$30),W267+W222+W152,0)</f>
        <v>0</v>
      </c>
      <c r="X404" s="151">
        <f>+IF(YEAR(X$140)&lt;=YEAR(Assumptions!$F$30),X267+X222+X152,0)</f>
        <v>0</v>
      </c>
      <c r="Y404" s="151">
        <f>+IF(YEAR(Y$140)&lt;=YEAR(Assumptions!$F$30),Y267+Y222+Y152,0)</f>
        <v>0</v>
      </c>
      <c r="Z404" s="151">
        <f>+IF(YEAR(Z$140)&lt;=YEAR(Assumptions!$F$30),Z267+Z222+Z152,0)</f>
        <v>0</v>
      </c>
    </row>
    <row r="405" spans="2:26" x14ac:dyDescent="0.35">
      <c r="B405" s="33" t="s">
        <v>649</v>
      </c>
      <c r="D405" s="48"/>
      <c r="E405" s="48"/>
      <c r="F405" s="151">
        <f>-IF(YEAR(F$140)&lt;=YEAR(Assumptions!$F$30),F433,0)</f>
        <v>0</v>
      </c>
      <c r="G405" s="151">
        <f>-IF(YEAR(G$140)&lt;=YEAR(Assumptions!$F$30),G433,0)</f>
        <v>0</v>
      </c>
      <c r="H405" s="151">
        <f>-IF(YEAR(H$140)&lt;=YEAR(Assumptions!$F$30),H433,0)</f>
        <v>0</v>
      </c>
      <c r="I405" s="151">
        <f ca="1">-IF(YEAR(I$140)&lt;=YEAR(Assumptions!$F$30),I433,0)</f>
        <v>34980880.000533104</v>
      </c>
      <c r="J405" s="151">
        <f>-IF(YEAR(J$140)&lt;=YEAR(Assumptions!$F$30),J433,0)</f>
        <v>0</v>
      </c>
      <c r="K405" s="151">
        <f>-IF(YEAR(K$140)&lt;=YEAR(Assumptions!$F$30),K433,0)</f>
        <v>0</v>
      </c>
      <c r="L405" s="151">
        <f>-IF(YEAR(L$140)&lt;=YEAR(Assumptions!$F$30),L433,0)</f>
        <v>0</v>
      </c>
      <c r="M405" s="151">
        <f>-IF(YEAR(M$140)&lt;=YEAR(Assumptions!$F$30),M433,0)</f>
        <v>0</v>
      </c>
      <c r="N405" s="151">
        <f>-IF(YEAR(N$140)&lt;=YEAR(Assumptions!$F$30),N433,0)</f>
        <v>0</v>
      </c>
      <c r="O405" s="151">
        <f>-IF(YEAR(O$140)&lt;=YEAR(Assumptions!$F$30),O433,0)</f>
        <v>0</v>
      </c>
      <c r="P405" s="151">
        <f ca="1">-IF(YEAR(P$140)&lt;=YEAR(Assumptions!$F$30),P433,0)</f>
        <v>207828472.06390071</v>
      </c>
      <c r="Q405" s="151">
        <f>-IF(YEAR(Q$140)&lt;=YEAR(Assumptions!$F$30),Q433,0)</f>
        <v>0</v>
      </c>
      <c r="R405" s="151">
        <f>-IF(YEAR(R$140)&lt;=YEAR(Assumptions!$F$30),R433,0)</f>
        <v>0</v>
      </c>
      <c r="S405" s="151">
        <f>-IF(YEAR(S$140)&lt;=YEAR(Assumptions!$F$30),S433,0)</f>
        <v>0</v>
      </c>
      <c r="T405" s="151">
        <f>-IF(YEAR(T$140)&lt;=YEAR(Assumptions!$F$30),T433,0)</f>
        <v>0</v>
      </c>
      <c r="U405" s="151">
        <f>-IF(YEAR(U$140)&lt;=YEAR(Assumptions!$F$30),U433,0)</f>
        <v>0</v>
      </c>
      <c r="V405" s="151">
        <f>-IF(YEAR(V$140)&lt;=YEAR(Assumptions!$F$30),V433,0)</f>
        <v>0</v>
      </c>
      <c r="W405" s="151">
        <f>-IF(YEAR(W$140)&lt;=YEAR(Assumptions!$F$30),W433,0)</f>
        <v>0</v>
      </c>
      <c r="X405" s="151">
        <f>-IF(YEAR(X$140)&lt;=YEAR(Assumptions!$F$30),X433,0)</f>
        <v>0</v>
      </c>
      <c r="Y405" s="151">
        <f>-IF(YEAR(Y$140)&lt;=YEAR(Assumptions!$F$30),Y433,0)</f>
        <v>0</v>
      </c>
      <c r="Z405" s="151">
        <f>-IF(YEAR(Z$140)&lt;=YEAR(Assumptions!$F$30),Z433,0)</f>
        <v>0</v>
      </c>
    </row>
    <row r="406" spans="2:26" x14ac:dyDescent="0.35">
      <c r="B406" s="33" t="s">
        <v>421</v>
      </c>
      <c r="D406" s="48"/>
      <c r="E406" s="48"/>
      <c r="F406" s="151">
        <f>-F434*Assumptions!$M$192</f>
        <v>0</v>
      </c>
      <c r="G406" s="151">
        <f>-G434*Assumptions!$M$192</f>
        <v>0</v>
      </c>
      <c r="H406" s="151">
        <f>-H434*Assumptions!$M$192</f>
        <v>0</v>
      </c>
      <c r="I406" s="151">
        <f>-I434*Assumptions!$M$192</f>
        <v>0</v>
      </c>
      <c r="J406" s="151">
        <f>-J434*Assumptions!$M$192</f>
        <v>0</v>
      </c>
      <c r="K406" s="151">
        <f>-K434*Assumptions!$M$192</f>
        <v>0</v>
      </c>
      <c r="L406" s="151">
        <f>-L434*Assumptions!$M$192</f>
        <v>0</v>
      </c>
      <c r="M406" s="151">
        <f>-M434*Assumptions!$M$192</f>
        <v>0</v>
      </c>
      <c r="N406" s="151">
        <f>-N434*Assumptions!$M$192</f>
        <v>0</v>
      </c>
      <c r="O406" s="151">
        <f>-O434*Assumptions!$M$192</f>
        <v>0</v>
      </c>
      <c r="P406" s="151">
        <f ca="1">-P434*Assumptions!$M$192</f>
        <v>-48916647.834747545</v>
      </c>
      <c r="Q406" s="151">
        <f>-Q434*Assumptions!$M$192</f>
        <v>0</v>
      </c>
      <c r="R406" s="151">
        <f>-R434*Assumptions!$M$192</f>
        <v>0</v>
      </c>
      <c r="S406" s="151">
        <f>-S434*Assumptions!$M$192</f>
        <v>0</v>
      </c>
      <c r="T406" s="151">
        <f>-T434*Assumptions!$M$192</f>
        <v>0</v>
      </c>
      <c r="U406" s="151">
        <f>-U434*Assumptions!$M$192</f>
        <v>0</v>
      </c>
      <c r="V406" s="151">
        <f>-V434*Assumptions!$M$192</f>
        <v>0</v>
      </c>
      <c r="W406" s="151">
        <f>-W434*Assumptions!$M$192</f>
        <v>0</v>
      </c>
      <c r="X406" s="151">
        <f>-X434*Assumptions!$M$192</f>
        <v>0</v>
      </c>
      <c r="Y406" s="151">
        <f>-Y434*Assumptions!$M$192</f>
        <v>0</v>
      </c>
      <c r="Z406" s="151">
        <f>-Z434*Assumptions!$M$192</f>
        <v>0</v>
      </c>
    </row>
    <row r="407" spans="2:26" x14ac:dyDescent="0.35">
      <c r="B407" s="138" t="s">
        <v>413</v>
      </c>
      <c r="C407" s="138"/>
      <c r="D407" s="139">
        <f t="shared" ref="D407" ca="1" si="659">+SUM(F407:Z407)</f>
        <v>175417067.2527149</v>
      </c>
      <c r="E407" s="139"/>
      <c r="F407" s="139">
        <f t="shared" ref="F407:Z407" ca="1" si="660">+SUM(F400:F406)</f>
        <v>-51495790.787373006</v>
      </c>
      <c r="G407" s="139">
        <f t="shared" ca="1" si="660"/>
        <v>-12663221.150123715</v>
      </c>
      <c r="H407" s="139">
        <f t="shared" ca="1" si="660"/>
        <v>0</v>
      </c>
      <c r="I407" s="139">
        <f t="shared" ca="1" si="660"/>
        <v>26034439.700980678</v>
      </c>
      <c r="J407" s="139">
        <f t="shared" ca="1" si="660"/>
        <v>6058956.9749201192</v>
      </c>
      <c r="K407" s="139">
        <f t="shared" ca="1" si="660"/>
        <v>6511650.2030417984</v>
      </c>
      <c r="L407" s="139">
        <f t="shared" ca="1" si="660"/>
        <v>7880829.0934580928</v>
      </c>
      <c r="M407" s="139">
        <f t="shared" ca="1" si="660"/>
        <v>8098150.6208500275</v>
      </c>
      <c r="N407" s="139">
        <f t="shared" ca="1" si="660"/>
        <v>8405995.2286951449</v>
      </c>
      <c r="O407" s="139">
        <f t="shared" ca="1" si="660"/>
        <v>8720024.779054299</v>
      </c>
      <c r="P407" s="139">
        <f t="shared" ca="1" si="660"/>
        <v>167866032.58921146</v>
      </c>
      <c r="Q407" s="139">
        <f t="shared" ca="1" si="660"/>
        <v>0</v>
      </c>
      <c r="R407" s="139">
        <f t="shared" ca="1" si="660"/>
        <v>0</v>
      </c>
      <c r="S407" s="139">
        <f t="shared" ca="1" si="660"/>
        <v>0</v>
      </c>
      <c r="T407" s="139">
        <f t="shared" ca="1" si="660"/>
        <v>0</v>
      </c>
      <c r="U407" s="139">
        <f t="shared" ca="1" si="660"/>
        <v>0</v>
      </c>
      <c r="V407" s="139">
        <f t="shared" ca="1" si="660"/>
        <v>0</v>
      </c>
      <c r="W407" s="139">
        <f t="shared" ca="1" si="660"/>
        <v>0</v>
      </c>
      <c r="X407" s="139">
        <f t="shared" ca="1" si="660"/>
        <v>0</v>
      </c>
      <c r="Y407" s="139">
        <f t="shared" ca="1" si="660"/>
        <v>0</v>
      </c>
      <c r="Z407" s="139">
        <f t="shared" ca="1" si="660"/>
        <v>0</v>
      </c>
    </row>
    <row r="408" spans="2:26" x14ac:dyDescent="0.35">
      <c r="B408" s="119"/>
    </row>
    <row r="409" spans="2:26" x14ac:dyDescent="0.35">
      <c r="B409" s="226" t="s">
        <v>651</v>
      </c>
      <c r="C409" s="226"/>
      <c r="D409" s="227">
        <f ca="1">+IRR(F407:Z407)</f>
        <v>0.18348882078246898</v>
      </c>
      <c r="F409" s="554"/>
      <c r="G409" s="34"/>
    </row>
    <row r="410" spans="2:26" x14ac:dyDescent="0.35">
      <c r="B410" s="119"/>
      <c r="D410" s="108"/>
    </row>
    <row r="411" spans="2:26" x14ac:dyDescent="0.35">
      <c r="B411" s="148" t="s">
        <v>652</v>
      </c>
      <c r="F411" s="148">
        <f>+F399</f>
        <v>0</v>
      </c>
      <c r="G411" s="148">
        <f t="shared" ref="G411:Z411" si="661">+G399</f>
        <v>1</v>
      </c>
      <c r="H411" s="148">
        <f t="shared" si="661"/>
        <v>2</v>
      </c>
      <c r="I411" s="148">
        <f t="shared" si="661"/>
        <v>3</v>
      </c>
      <c r="J411" s="148">
        <f t="shared" si="661"/>
        <v>4</v>
      </c>
      <c r="K411" s="148">
        <f t="shared" si="661"/>
        <v>5</v>
      </c>
      <c r="L411" s="148">
        <f t="shared" si="661"/>
        <v>6</v>
      </c>
      <c r="M411" s="148">
        <f t="shared" si="661"/>
        <v>7</v>
      </c>
      <c r="N411" s="148">
        <f t="shared" si="661"/>
        <v>8</v>
      </c>
      <c r="O411" s="148">
        <f t="shared" si="661"/>
        <v>9</v>
      </c>
      <c r="P411" s="148">
        <f t="shared" si="661"/>
        <v>10</v>
      </c>
      <c r="Q411" s="148">
        <f t="shared" si="661"/>
        <v>11</v>
      </c>
      <c r="R411" s="148">
        <f t="shared" si="661"/>
        <v>12</v>
      </c>
      <c r="S411" s="148">
        <f t="shared" si="661"/>
        <v>13</v>
      </c>
      <c r="T411" s="148">
        <f t="shared" si="661"/>
        <v>14</v>
      </c>
      <c r="U411" s="148">
        <f t="shared" si="661"/>
        <v>15</v>
      </c>
      <c r="V411" s="148">
        <f t="shared" si="661"/>
        <v>16</v>
      </c>
      <c r="W411" s="148">
        <f t="shared" si="661"/>
        <v>17</v>
      </c>
      <c r="X411" s="148">
        <f t="shared" si="661"/>
        <v>18</v>
      </c>
      <c r="Y411" s="148">
        <f t="shared" si="661"/>
        <v>19</v>
      </c>
      <c r="Z411" s="148">
        <f t="shared" si="661"/>
        <v>20</v>
      </c>
    </row>
    <row r="412" spans="2:26" x14ac:dyDescent="0.35">
      <c r="B412" s="33" t="s">
        <v>404</v>
      </c>
      <c r="D412" s="48"/>
      <c r="E412" s="48"/>
      <c r="F412" s="34">
        <f ca="1">+F400</f>
        <v>-51495790.787373006</v>
      </c>
      <c r="G412" s="34">
        <f t="shared" ref="G412:Z412" ca="1" si="662">+G400</f>
        <v>-12663221.150123715</v>
      </c>
      <c r="H412" s="34">
        <f t="shared" ca="1" si="662"/>
        <v>0</v>
      </c>
      <c r="I412" s="34">
        <f t="shared" ca="1" si="662"/>
        <v>0</v>
      </c>
      <c r="J412" s="34">
        <f t="shared" ca="1" si="662"/>
        <v>0</v>
      </c>
      <c r="K412" s="34">
        <f t="shared" ca="1" si="662"/>
        <v>0</v>
      </c>
      <c r="L412" s="34">
        <f t="shared" ca="1" si="662"/>
        <v>0</v>
      </c>
      <c r="M412" s="34">
        <f t="shared" ca="1" si="662"/>
        <v>0</v>
      </c>
      <c r="N412" s="34">
        <f t="shared" ca="1" si="662"/>
        <v>0</v>
      </c>
      <c r="O412" s="34">
        <f t="shared" ca="1" si="662"/>
        <v>0</v>
      </c>
      <c r="P412" s="34">
        <f t="shared" ca="1" si="662"/>
        <v>0</v>
      </c>
      <c r="Q412" s="34">
        <f t="shared" ca="1" si="662"/>
        <v>0</v>
      </c>
      <c r="R412" s="34">
        <f t="shared" ca="1" si="662"/>
        <v>0</v>
      </c>
      <c r="S412" s="34">
        <f t="shared" ca="1" si="662"/>
        <v>0</v>
      </c>
      <c r="T412" s="34">
        <f t="shared" ca="1" si="662"/>
        <v>0</v>
      </c>
      <c r="U412" s="34">
        <f t="shared" ca="1" si="662"/>
        <v>0</v>
      </c>
      <c r="V412" s="34">
        <f t="shared" ca="1" si="662"/>
        <v>0</v>
      </c>
      <c r="W412" s="34">
        <f t="shared" ca="1" si="662"/>
        <v>0</v>
      </c>
      <c r="X412" s="34">
        <f t="shared" ca="1" si="662"/>
        <v>0</v>
      </c>
      <c r="Y412" s="34">
        <f t="shared" ca="1" si="662"/>
        <v>0</v>
      </c>
      <c r="Z412" s="34">
        <f t="shared" ca="1" si="662"/>
        <v>0</v>
      </c>
    </row>
    <row r="413" spans="2:26" x14ac:dyDescent="0.35">
      <c r="B413" s="33" t="s">
        <v>422</v>
      </c>
      <c r="D413" s="48"/>
      <c r="E413" s="48"/>
      <c r="F413" s="151">
        <f ca="1">-F412*Assumptions!$M$192</f>
        <v>10814116.065348331</v>
      </c>
      <c r="G413" s="151">
        <f ca="1">-G412*Assumptions!$M$192</f>
        <v>2659276.4415259804</v>
      </c>
      <c r="H413" s="151">
        <f ca="1">-H412*Assumptions!$M$192</f>
        <v>0</v>
      </c>
      <c r="I413" s="151">
        <f ca="1">-I412*Assumptions!$M$192</f>
        <v>0</v>
      </c>
      <c r="J413" s="151">
        <f ca="1">-J412*Assumptions!$M$192</f>
        <v>0</v>
      </c>
      <c r="K413" s="151">
        <f ca="1">-K412*Assumptions!$M$192</f>
        <v>0</v>
      </c>
      <c r="L413" s="151">
        <f ca="1">-L412*Assumptions!$M$192</f>
        <v>0</v>
      </c>
      <c r="M413" s="151">
        <f ca="1">-M412*Assumptions!$M$192</f>
        <v>0</v>
      </c>
      <c r="N413" s="151">
        <f ca="1">-N412*Assumptions!$M$192</f>
        <v>0</v>
      </c>
      <c r="O413" s="151">
        <f ca="1">-O412*Assumptions!$M$192</f>
        <v>0</v>
      </c>
      <c r="P413" s="151">
        <f ca="1">-P412*Assumptions!$M$192</f>
        <v>0</v>
      </c>
      <c r="Q413" s="151">
        <f ca="1">-Q412*Assumptions!$M$192</f>
        <v>0</v>
      </c>
      <c r="R413" s="151">
        <f ca="1">-R412*Assumptions!$M$192</f>
        <v>0</v>
      </c>
      <c r="S413" s="151">
        <f ca="1">-S412*Assumptions!$M$192</f>
        <v>0</v>
      </c>
      <c r="T413" s="151">
        <f ca="1">-T412*Assumptions!$M$192</f>
        <v>0</v>
      </c>
      <c r="U413" s="151">
        <f ca="1">-U412*Assumptions!$M$192</f>
        <v>0</v>
      </c>
      <c r="V413" s="151">
        <f ca="1">-V412*Assumptions!$M$192</f>
        <v>0</v>
      </c>
      <c r="W413" s="151">
        <f ca="1">-W412*Assumptions!$M$192</f>
        <v>0</v>
      </c>
      <c r="X413" s="151">
        <f ca="1">-X412*Assumptions!$M$192</f>
        <v>0</v>
      </c>
      <c r="Y413" s="151">
        <f ca="1">-Y412*Assumptions!$M$192</f>
        <v>0</v>
      </c>
      <c r="Z413" s="151">
        <f ca="1">-Z412*Assumptions!$M$192</f>
        <v>0</v>
      </c>
    </row>
    <row r="414" spans="2:26" x14ac:dyDescent="0.35">
      <c r="B414" s="33" t="s">
        <v>423</v>
      </c>
      <c r="D414" s="48"/>
      <c r="E414" s="48"/>
      <c r="F414" s="151">
        <f ca="1">IFERROR(-IF(YEAR(F397)&lt;MIN(YEAR(Assumptions!$F$30),2026),(OFFSET('Phase I Pro Forma'!F413,0,-10)),IF(YEAR(F397)=MIN(YEAR(Assumptions!$F$30),2026),SUM('Phase I Pro Forma'!$E$413:F$413)-SUM('Phase I Pro Forma'!$E$414:E$414),0)),0)</f>
        <v>0</v>
      </c>
      <c r="G414" s="151">
        <f ca="1">IFERROR(-IF(YEAR(G397)&lt;MIN(YEAR(Assumptions!$F$30),2026),(OFFSET('Phase I Pro Forma'!G413,0,-10)),IF(YEAR(G397)=MIN(YEAR(Assumptions!$F$30),2026),SUM('Phase I Pro Forma'!$E$413:G$413)-SUM('Phase I Pro Forma'!$E$414:F$414),0)),0)</f>
        <v>0</v>
      </c>
      <c r="H414" s="151">
        <f ca="1">IFERROR(-IF(YEAR(H397)&lt;MIN(YEAR(Assumptions!$F$30),2026),(OFFSET('Phase I Pro Forma'!H413,0,-10)),IF(YEAR(H397)=MIN(YEAR(Assumptions!$F$30),2026),SUM('Phase I Pro Forma'!$E$413:H$413)-SUM('Phase I Pro Forma'!$E$414:G$414),0)),0)</f>
        <v>0</v>
      </c>
      <c r="I414" s="151">
        <f ca="1">IFERROR(-IF(YEAR(I397)&lt;MIN(YEAR(Assumptions!$F$30),2026),(OFFSET('Phase I Pro Forma'!I413,0,-10)),IF(YEAR(I397)=MIN(YEAR(Assumptions!$F$30),2026),SUM('Phase I Pro Forma'!$E$413:I$413)-SUM('Phase I Pro Forma'!$E$414:H$414),0)),0)</f>
        <v>0</v>
      </c>
      <c r="J414" s="151">
        <f ca="1">IFERROR(-IF(YEAR(J397)&lt;MIN(YEAR(Assumptions!$F$30),2026),(OFFSET('Phase I Pro Forma'!J413,0,-10)),IF(YEAR(J397)=MIN(YEAR(Assumptions!$F$30),2026),SUM('Phase I Pro Forma'!$E$413:J$413)-SUM('Phase I Pro Forma'!$E$414:I$414),0)),0)</f>
        <v>0</v>
      </c>
      <c r="K414" s="151">
        <f ca="1">IFERROR(-IF(YEAR(K397)&lt;MIN(YEAR(Assumptions!$F$30),2026),(OFFSET('Phase I Pro Forma'!K413,0,-10)),IF(YEAR(K397)=MIN(YEAR(Assumptions!$F$30),2026),SUM('Phase I Pro Forma'!$E$413:K$413)-SUM('Phase I Pro Forma'!$E$414:J$414),0)),0)</f>
        <v>0</v>
      </c>
      <c r="L414" s="151">
        <f ca="1">IFERROR(-IF(YEAR(L397)&lt;MIN(YEAR(Assumptions!$F$30),2026),(OFFSET('Phase I Pro Forma'!L413,0,-10)),IF(YEAR(L397)=MIN(YEAR(Assumptions!$F$30),2026),SUM('Phase I Pro Forma'!$E$413:L$413)-SUM('Phase I Pro Forma'!$E$414:K$414),0)),0)</f>
        <v>-13473392.506874312</v>
      </c>
      <c r="M414" s="151">
        <f ca="1">IFERROR(-IF(YEAR(M397)&lt;MIN(YEAR(Assumptions!$F$30),2026),(OFFSET('Phase I Pro Forma'!M413,0,-10)),IF(YEAR(M397)=MIN(YEAR(Assumptions!$F$30),2026),SUM('Phase I Pro Forma'!$E$413:M$413)-SUM('Phase I Pro Forma'!$E$414:L$414),0)),0)</f>
        <v>0</v>
      </c>
      <c r="N414" s="151">
        <f ca="1">IFERROR(-IF(YEAR(N397)&lt;MIN(YEAR(Assumptions!$F$30),2026),(OFFSET('Phase I Pro Forma'!N413,0,-10)),IF(YEAR(N397)=MIN(YEAR(Assumptions!$F$30),2026),SUM('Phase I Pro Forma'!$E$413:N$413)-SUM('Phase I Pro Forma'!$E$414:M$414),0)),0)</f>
        <v>0</v>
      </c>
      <c r="O414" s="151">
        <f ca="1">IFERROR(-IF(YEAR(O397)&lt;MIN(YEAR(Assumptions!$F$30),2026),(OFFSET('Phase I Pro Forma'!O413,0,-10)),IF(YEAR(O397)=MIN(YEAR(Assumptions!$F$30),2026),SUM('Phase I Pro Forma'!$E$413:O$413)-SUM('Phase I Pro Forma'!$E$414:N$414),0)),0)</f>
        <v>0</v>
      </c>
      <c r="P414" s="151">
        <f ca="1">IFERROR(-IF(YEAR(P397)&lt;MIN(YEAR(Assumptions!$F$30),2026),(OFFSET('Phase I Pro Forma'!P413,0,-10)),IF(YEAR(P397)=MIN(YEAR(Assumptions!$F$30),2026),SUM('Phase I Pro Forma'!$E$413:P$413)-SUM('Phase I Pro Forma'!$E$414:O$414),0)),0)</f>
        <v>0</v>
      </c>
      <c r="Q414" s="151">
        <f ca="1">IFERROR(-IF(YEAR(Q397)&lt;MIN(YEAR(Assumptions!$F$30),2026),(OFFSET('Phase I Pro Forma'!Q413,0,-10)),IF(YEAR(Q397)=MIN(YEAR(Assumptions!$F$30),2026),SUM('Phase I Pro Forma'!$E$413:Q$413)-SUM('Phase I Pro Forma'!$E$414:P$414),0)),0)</f>
        <v>0</v>
      </c>
      <c r="R414" s="151">
        <f ca="1">IFERROR(-IF(YEAR(R397)&lt;MIN(YEAR(Assumptions!$F$30),2026),(OFFSET('Phase I Pro Forma'!R413,0,-10)),IF(YEAR(R397)=MIN(YEAR(Assumptions!$F$30),2026),SUM('Phase I Pro Forma'!$E$413:R$413)-SUM('Phase I Pro Forma'!$E$414:Q$414),0)),0)</f>
        <v>0</v>
      </c>
      <c r="S414" s="151">
        <f ca="1">IFERROR(-IF(YEAR(S397)&lt;MIN(YEAR(Assumptions!$F$30),2026),(OFFSET('Phase I Pro Forma'!S413,0,-10)),IF(YEAR(S397)=MIN(YEAR(Assumptions!$F$30),2026),SUM('Phase I Pro Forma'!$E$413:S$413)-SUM('Phase I Pro Forma'!$E$414:R$414),0)),0)</f>
        <v>0</v>
      </c>
      <c r="T414" s="151">
        <f ca="1">IFERROR(-IF(YEAR(T397)&lt;MIN(YEAR(Assumptions!$F$30),2026),(OFFSET('Phase I Pro Forma'!T413,0,-10)),IF(YEAR(T397)=MIN(YEAR(Assumptions!$F$30),2026),SUM('Phase I Pro Forma'!$E$413:T$413)-SUM('Phase I Pro Forma'!$E$414:S$414),0)),0)</f>
        <v>0</v>
      </c>
      <c r="U414" s="151">
        <f ca="1">IFERROR(-IF(YEAR(U397)&lt;MIN(YEAR(Assumptions!$F$30),2026),(OFFSET('Phase I Pro Forma'!U413,0,-10)),IF(YEAR(U397)=MIN(YEAR(Assumptions!$F$30),2026),SUM('Phase I Pro Forma'!$E$413:U$413)-SUM('Phase I Pro Forma'!$E$414:T$414),0)),0)</f>
        <v>0</v>
      </c>
      <c r="V414" s="151">
        <f ca="1">IFERROR(-IF(YEAR(V397)&lt;MIN(YEAR(Assumptions!$F$30),2026),(OFFSET('Phase I Pro Forma'!V413,0,-10)),IF(YEAR(V397)=MIN(YEAR(Assumptions!$F$30),2026),SUM('Phase I Pro Forma'!$E$413:V$413)-SUM('Phase I Pro Forma'!$E$414:U$414),0)),0)</f>
        <v>0</v>
      </c>
      <c r="W414" s="151">
        <f ca="1">IFERROR(-IF(YEAR(W397)&lt;MIN(YEAR(Assumptions!$F$30),2026),(OFFSET('Phase I Pro Forma'!W413,0,-10)),IF(YEAR(W397)=MIN(YEAR(Assumptions!$F$30),2026),SUM('Phase I Pro Forma'!$E$413:W$413)-SUM('Phase I Pro Forma'!$E$414:V$414),0)),0)</f>
        <v>0</v>
      </c>
      <c r="X414" s="151">
        <f ca="1">IFERROR(-IF(YEAR(X397)&lt;MIN(YEAR(Assumptions!$F$30),2026),(OFFSET('Phase I Pro Forma'!X413,0,-10)),IF(YEAR(X397)=MIN(YEAR(Assumptions!$F$30),2026),SUM('Phase I Pro Forma'!$E$413:X$413)-SUM('Phase I Pro Forma'!$E$414:W$414),0)),0)</f>
        <v>0</v>
      </c>
      <c r="Y414" s="151">
        <f ca="1">IFERROR(-IF(YEAR(Y397)&lt;MIN(YEAR(Assumptions!$F$30),2026),(OFFSET('Phase I Pro Forma'!Y413,0,-10)),IF(YEAR(Y397)=MIN(YEAR(Assumptions!$F$30),2026),SUM('Phase I Pro Forma'!$E$413:Y$413)-SUM('Phase I Pro Forma'!$E$414:X$414),0)),0)</f>
        <v>0</v>
      </c>
      <c r="Z414" s="151">
        <f ca="1">IFERROR(-IF(YEAR(Z397)&lt;MIN(YEAR(Assumptions!$F$30),2026),(OFFSET('Phase I Pro Forma'!Z413,0,-10)),IF(YEAR(Z397)=MIN(YEAR(Assumptions!$F$30),2026),SUM('Phase I Pro Forma'!$E$413:Z$413)-SUM('Phase I Pro Forma'!$E$414:Y$414),0)),0)</f>
        <v>0</v>
      </c>
    </row>
    <row r="415" spans="2:26" x14ac:dyDescent="0.35">
      <c r="B415" s="33" t="s">
        <v>424</v>
      </c>
      <c r="D415" s="48"/>
      <c r="E415" s="48"/>
      <c r="F415" s="151">
        <f>+IF(YEAR(F397)=MIN(YEAR(Assumptions!$F$30),2026),SUM('Phase I Pro Forma'!$F$425:$Z$425),0)</f>
        <v>0</v>
      </c>
      <c r="G415" s="151">
        <f>+IF(YEAR(G397)=MIN(YEAR(Assumptions!$F$30),2026),SUM('Phase I Pro Forma'!$F$425:$Z$425),0)</f>
        <v>0</v>
      </c>
      <c r="H415" s="151">
        <f>+IF(YEAR(H397)=MIN(YEAR(Assumptions!$F$30),2026),SUM('Phase I Pro Forma'!$F$425:$Z$425),0)</f>
        <v>0</v>
      </c>
      <c r="I415" s="151">
        <f>+IF(YEAR(I397)=MIN(YEAR(Assumptions!$F$30),2026),SUM('Phase I Pro Forma'!$F$425:$Z$425),0)</f>
        <v>0</v>
      </c>
      <c r="J415" s="151">
        <f>+IF(YEAR(J397)=MIN(YEAR(Assumptions!$F$30),2026),SUM('Phase I Pro Forma'!$F$425:$Z$425),0)</f>
        <v>0</v>
      </c>
      <c r="K415" s="151">
        <f>+IF(YEAR(K397)=MIN(YEAR(Assumptions!$F$30),2026),SUM('Phase I Pro Forma'!$F$425:$Z$425),0)</f>
        <v>0</v>
      </c>
      <c r="L415" s="151">
        <f ca="1">+IF(YEAR(L397)=MIN(YEAR(Assumptions!$F$30),2026),SUM('Phase I Pro Forma'!$F$425:$Z$425),0)</f>
        <v>2021008.8760311466</v>
      </c>
      <c r="M415" s="151">
        <f>+IF(YEAR(M397)=MIN(YEAR(Assumptions!$F$30),2026),SUM('Phase I Pro Forma'!$F$425:$Z$425),0)</f>
        <v>0</v>
      </c>
      <c r="N415" s="151">
        <f>+IF(YEAR(N397)=MIN(YEAR(Assumptions!$F$30),2026),SUM('Phase I Pro Forma'!$F$425:$Z$425),0)</f>
        <v>0</v>
      </c>
      <c r="O415" s="151">
        <f>+IF(YEAR(O397)=MIN(YEAR(Assumptions!$F$30),2026),SUM('Phase I Pro Forma'!$F$425:$Z$425),0)</f>
        <v>0</v>
      </c>
      <c r="P415" s="151">
        <f>+IF(YEAR(P397)=MIN(YEAR(Assumptions!$F$30),2026),SUM('Phase I Pro Forma'!$F$425:$Z$425),0)</f>
        <v>0</v>
      </c>
      <c r="Q415" s="151">
        <f>+IF(YEAR(Q397)=MIN(YEAR(Assumptions!$F$30),2026),SUM('Phase I Pro Forma'!$F$425:$Z$425),0)</f>
        <v>0</v>
      </c>
      <c r="R415" s="151">
        <f>+IF(YEAR(R397)=MIN(YEAR(Assumptions!$F$30),2026),SUM('Phase I Pro Forma'!$F$425:$Z$425),0)</f>
        <v>0</v>
      </c>
      <c r="S415" s="151">
        <f>+IF(YEAR(S397)=MIN(YEAR(Assumptions!$F$30),2026),SUM('Phase I Pro Forma'!$F$425:$Z$425),0)</f>
        <v>0</v>
      </c>
      <c r="T415" s="151">
        <f>+IF(YEAR(T397)=MIN(YEAR(Assumptions!$F$30),2026),SUM('Phase I Pro Forma'!$F$425:$Z$425),0)</f>
        <v>0</v>
      </c>
      <c r="U415" s="151">
        <f>+IF(YEAR(U397)=MIN(YEAR(Assumptions!$F$30),2026),SUM('Phase I Pro Forma'!$F$425:$Z$425),0)</f>
        <v>0</v>
      </c>
      <c r="V415" s="151">
        <f>+IF(YEAR(V397)=MIN(YEAR(Assumptions!$F$30),2026),SUM('Phase I Pro Forma'!$F$425:$Z$425),0)</f>
        <v>0</v>
      </c>
      <c r="W415" s="151">
        <f>+IF(YEAR(W397)=MIN(YEAR(Assumptions!$F$30),2026),SUM('Phase I Pro Forma'!$F$425:$Z$425),0)</f>
        <v>0</v>
      </c>
      <c r="X415" s="151">
        <f>+IF(YEAR(X397)=MIN(YEAR(Assumptions!$F$30),2026),SUM('Phase I Pro Forma'!$F$425:$Z$425),0)</f>
        <v>0</v>
      </c>
      <c r="Y415" s="151">
        <f>+IF(YEAR(Y397)=MIN(YEAR(Assumptions!$F$30),2026),SUM('Phase I Pro Forma'!$F$425:$Z$425),0)</f>
        <v>0</v>
      </c>
      <c r="Z415" s="151">
        <f>+IF(YEAR(Z397)=MIN(YEAR(Assumptions!$F$30),2026),SUM('Phase I Pro Forma'!$F$425:$Z$425),0)</f>
        <v>0</v>
      </c>
    </row>
    <row r="416" spans="2:26" x14ac:dyDescent="0.35">
      <c r="B416" s="33" t="s">
        <v>648</v>
      </c>
      <c r="D416" s="48"/>
      <c r="E416" s="48"/>
      <c r="F416" s="151">
        <f ca="1">+F403</f>
        <v>0</v>
      </c>
      <c r="G416" s="151">
        <f t="shared" ref="G416:Z416" ca="1" si="663">+G403</f>
        <v>0</v>
      </c>
      <c r="H416" s="151">
        <f t="shared" ca="1" si="663"/>
        <v>0</v>
      </c>
      <c r="I416" s="151">
        <f t="shared" ca="1" si="663"/>
        <v>1133140.576415865</v>
      </c>
      <c r="J416" s="151">
        <f t="shared" ca="1" si="663"/>
        <v>780824.68921226764</v>
      </c>
      <c r="K416" s="151">
        <f t="shared" ca="1" si="663"/>
        <v>615051.59870221163</v>
      </c>
      <c r="L416" s="151">
        <f t="shared" ca="1" si="663"/>
        <v>202702.33766595231</v>
      </c>
      <c r="M416" s="151">
        <f t="shared" ca="1" si="663"/>
        <v>93397.638066510495</v>
      </c>
      <c r="N416" s="151">
        <f t="shared" ca="1" si="663"/>
        <v>-43319.978457866848</v>
      </c>
      <c r="O416" s="151">
        <f t="shared" ca="1" si="663"/>
        <v>-185249.25148779972</v>
      </c>
      <c r="P416" s="151">
        <f t="shared" ca="1" si="663"/>
        <v>-309753.0957115331</v>
      </c>
      <c r="Q416" s="151">
        <f t="shared" si="663"/>
        <v>0</v>
      </c>
      <c r="R416" s="151">
        <f t="shared" si="663"/>
        <v>0</v>
      </c>
      <c r="S416" s="151">
        <f t="shared" si="663"/>
        <v>0</v>
      </c>
      <c r="T416" s="151">
        <f t="shared" si="663"/>
        <v>0</v>
      </c>
      <c r="U416" s="151">
        <f t="shared" si="663"/>
        <v>0</v>
      </c>
      <c r="V416" s="151">
        <f t="shared" si="663"/>
        <v>0</v>
      </c>
      <c r="W416" s="151">
        <f t="shared" si="663"/>
        <v>0</v>
      </c>
      <c r="X416" s="151">
        <f t="shared" si="663"/>
        <v>0</v>
      </c>
      <c r="Y416" s="151">
        <f t="shared" si="663"/>
        <v>0</v>
      </c>
      <c r="Z416" s="151">
        <f t="shared" si="663"/>
        <v>0</v>
      </c>
    </row>
    <row r="417" spans="2:26" x14ac:dyDescent="0.35">
      <c r="B417" s="33" t="s">
        <v>650</v>
      </c>
      <c r="D417" s="48"/>
      <c r="E417" s="48"/>
      <c r="F417" s="151">
        <f ca="1">+F404</f>
        <v>0</v>
      </c>
      <c r="G417" s="151">
        <f t="shared" ref="G417:Z417" ca="1" si="664">+G404</f>
        <v>0</v>
      </c>
      <c r="H417" s="151">
        <f t="shared" ca="1" si="664"/>
        <v>0</v>
      </c>
      <c r="I417" s="151">
        <f t="shared" ca="1" si="664"/>
        <v>-10079580.87596829</v>
      </c>
      <c r="J417" s="151">
        <f t="shared" ca="1" si="664"/>
        <v>5278132.2857078519</v>
      </c>
      <c r="K417" s="151">
        <f t="shared" ca="1" si="664"/>
        <v>5896598.6043395866</v>
      </c>
      <c r="L417" s="151">
        <f t="shared" ca="1" si="664"/>
        <v>7678126.75579214</v>
      </c>
      <c r="M417" s="151">
        <f t="shared" ca="1" si="664"/>
        <v>8004752.9827835169</v>
      </c>
      <c r="N417" s="151">
        <f t="shared" ca="1" si="664"/>
        <v>8449315.2071530111</v>
      </c>
      <c r="O417" s="151">
        <f t="shared" ca="1" si="664"/>
        <v>8905274.030542098</v>
      </c>
      <c r="P417" s="151">
        <f t="shared" ca="1" si="664"/>
        <v>9263961.4557698313</v>
      </c>
      <c r="Q417" s="151">
        <f t="shared" si="664"/>
        <v>0</v>
      </c>
      <c r="R417" s="151">
        <f t="shared" si="664"/>
        <v>0</v>
      </c>
      <c r="S417" s="151">
        <f t="shared" si="664"/>
        <v>0</v>
      </c>
      <c r="T417" s="151">
        <f t="shared" si="664"/>
        <v>0</v>
      </c>
      <c r="U417" s="151">
        <f t="shared" si="664"/>
        <v>0</v>
      </c>
      <c r="V417" s="151">
        <f t="shared" si="664"/>
        <v>0</v>
      </c>
      <c r="W417" s="151">
        <f t="shared" si="664"/>
        <v>0</v>
      </c>
      <c r="X417" s="151">
        <f t="shared" si="664"/>
        <v>0</v>
      </c>
      <c r="Y417" s="151">
        <f t="shared" si="664"/>
        <v>0</v>
      </c>
      <c r="Z417" s="151">
        <f t="shared" si="664"/>
        <v>0</v>
      </c>
    </row>
    <row r="418" spans="2:26" x14ac:dyDescent="0.35">
      <c r="B418" s="33" t="s">
        <v>649</v>
      </c>
      <c r="D418" s="48"/>
      <c r="E418" s="48"/>
      <c r="F418" s="151">
        <f>-F273-F228-F159</f>
        <v>0</v>
      </c>
      <c r="G418" s="151">
        <f t="shared" ref="G418:Z418" si="665">+G405</f>
        <v>0</v>
      </c>
      <c r="H418" s="151">
        <f t="shared" si="665"/>
        <v>0</v>
      </c>
      <c r="I418" s="151">
        <f t="shared" ca="1" si="665"/>
        <v>34980880.000533104</v>
      </c>
      <c r="J418" s="151">
        <f t="shared" si="665"/>
        <v>0</v>
      </c>
      <c r="K418" s="151">
        <f t="shared" si="665"/>
        <v>0</v>
      </c>
      <c r="L418" s="151">
        <f t="shared" si="665"/>
        <v>0</v>
      </c>
      <c r="M418" s="151">
        <f t="shared" si="665"/>
        <v>0</v>
      </c>
      <c r="N418" s="151">
        <f t="shared" si="665"/>
        <v>0</v>
      </c>
      <c r="O418" s="151">
        <f t="shared" si="665"/>
        <v>0</v>
      </c>
      <c r="P418" s="151">
        <f t="shared" ca="1" si="665"/>
        <v>207828472.06390071</v>
      </c>
      <c r="Q418" s="151">
        <f t="shared" si="665"/>
        <v>0</v>
      </c>
      <c r="R418" s="151">
        <f t="shared" si="665"/>
        <v>0</v>
      </c>
      <c r="S418" s="151">
        <f t="shared" si="665"/>
        <v>0</v>
      </c>
      <c r="T418" s="151">
        <f t="shared" si="665"/>
        <v>0</v>
      </c>
      <c r="U418" s="151">
        <f t="shared" si="665"/>
        <v>0</v>
      </c>
      <c r="V418" s="151">
        <f t="shared" si="665"/>
        <v>0</v>
      </c>
      <c r="W418" s="151">
        <f t="shared" si="665"/>
        <v>0</v>
      </c>
      <c r="X418" s="151">
        <f t="shared" si="665"/>
        <v>0</v>
      </c>
      <c r="Y418" s="151">
        <f t="shared" si="665"/>
        <v>0</v>
      </c>
      <c r="Z418" s="151">
        <f t="shared" si="665"/>
        <v>0</v>
      </c>
    </row>
    <row r="419" spans="2:26" x14ac:dyDescent="0.35">
      <c r="B419" s="33" t="s">
        <v>421</v>
      </c>
      <c r="D419" s="48"/>
      <c r="E419" s="48"/>
      <c r="F419" s="151">
        <f>+IF(F399&gt;=10,0,F406)</f>
        <v>0</v>
      </c>
      <c r="G419" s="151">
        <f t="shared" ref="G419:Z419" si="666">+IF(G399&gt;=10,0,G406)</f>
        <v>0</v>
      </c>
      <c r="H419" s="151">
        <f t="shared" si="666"/>
        <v>0</v>
      </c>
      <c r="I419" s="151">
        <f t="shared" si="666"/>
        <v>0</v>
      </c>
      <c r="J419" s="151">
        <f t="shared" si="666"/>
        <v>0</v>
      </c>
      <c r="K419" s="151">
        <f t="shared" si="666"/>
        <v>0</v>
      </c>
      <c r="L419" s="151">
        <f t="shared" si="666"/>
        <v>0</v>
      </c>
      <c r="M419" s="151">
        <f t="shared" si="666"/>
        <v>0</v>
      </c>
      <c r="N419" s="151">
        <f t="shared" si="666"/>
        <v>0</v>
      </c>
      <c r="O419" s="151">
        <f t="shared" si="666"/>
        <v>0</v>
      </c>
      <c r="P419" s="151">
        <f t="shared" si="666"/>
        <v>0</v>
      </c>
      <c r="Q419" s="151">
        <f t="shared" si="666"/>
        <v>0</v>
      </c>
      <c r="R419" s="151">
        <f t="shared" si="666"/>
        <v>0</v>
      </c>
      <c r="S419" s="151">
        <f t="shared" si="666"/>
        <v>0</v>
      </c>
      <c r="T419" s="151">
        <f t="shared" si="666"/>
        <v>0</v>
      </c>
      <c r="U419" s="151">
        <f t="shared" si="666"/>
        <v>0</v>
      </c>
      <c r="V419" s="151">
        <f t="shared" si="666"/>
        <v>0</v>
      </c>
      <c r="W419" s="151">
        <f t="shared" si="666"/>
        <v>0</v>
      </c>
      <c r="X419" s="151">
        <f t="shared" si="666"/>
        <v>0</v>
      </c>
      <c r="Y419" s="151">
        <f t="shared" si="666"/>
        <v>0</v>
      </c>
      <c r="Z419" s="151">
        <f t="shared" si="666"/>
        <v>0</v>
      </c>
    </row>
    <row r="420" spans="2:26" x14ac:dyDescent="0.35">
      <c r="B420" s="138" t="s">
        <v>412</v>
      </c>
      <c r="C420" s="138"/>
      <c r="D420" s="139">
        <f t="shared" ref="D420" ca="1" si="667">+SUM(F420:Z420)</f>
        <v>226354723.96349359</v>
      </c>
      <c r="E420" s="139"/>
      <c r="F420" s="139">
        <f t="shared" ref="F420:Z420" ca="1" si="668">+SUM(F412:F419)</f>
        <v>-40681674.722024679</v>
      </c>
      <c r="G420" s="139">
        <f t="shared" ca="1" si="668"/>
        <v>-10003944.708597735</v>
      </c>
      <c r="H420" s="139">
        <f t="shared" ca="1" si="668"/>
        <v>0</v>
      </c>
      <c r="I420" s="139">
        <f t="shared" ca="1" si="668"/>
        <v>26034439.700980678</v>
      </c>
      <c r="J420" s="139">
        <f t="shared" ca="1" si="668"/>
        <v>6058956.9749201192</v>
      </c>
      <c r="K420" s="139">
        <f t="shared" ca="1" si="668"/>
        <v>6511650.2030417984</v>
      </c>
      <c r="L420" s="139">
        <f t="shared" ca="1" si="668"/>
        <v>-3571554.5373850716</v>
      </c>
      <c r="M420" s="139">
        <f t="shared" ca="1" si="668"/>
        <v>8098150.6208500275</v>
      </c>
      <c r="N420" s="139">
        <f t="shared" ca="1" si="668"/>
        <v>8405995.2286951449</v>
      </c>
      <c r="O420" s="139">
        <f t="shared" ca="1" si="668"/>
        <v>8720024.779054299</v>
      </c>
      <c r="P420" s="139">
        <f t="shared" ca="1" si="668"/>
        <v>216782680.42395902</v>
      </c>
      <c r="Q420" s="139">
        <f t="shared" ca="1" si="668"/>
        <v>0</v>
      </c>
      <c r="R420" s="139">
        <f t="shared" ca="1" si="668"/>
        <v>0</v>
      </c>
      <c r="S420" s="139">
        <f t="shared" ca="1" si="668"/>
        <v>0</v>
      </c>
      <c r="T420" s="139">
        <f t="shared" ca="1" si="668"/>
        <v>0</v>
      </c>
      <c r="U420" s="139">
        <f t="shared" ca="1" si="668"/>
        <v>0</v>
      </c>
      <c r="V420" s="139">
        <f t="shared" ca="1" si="668"/>
        <v>0</v>
      </c>
      <c r="W420" s="139">
        <f t="shared" ca="1" si="668"/>
        <v>0</v>
      </c>
      <c r="X420" s="139">
        <f t="shared" ca="1" si="668"/>
        <v>0</v>
      </c>
      <c r="Y420" s="139">
        <f t="shared" ca="1" si="668"/>
        <v>0</v>
      </c>
      <c r="Z420" s="139">
        <f t="shared" ca="1" si="668"/>
        <v>0</v>
      </c>
    </row>
    <row r="422" spans="2:26" x14ac:dyDescent="0.35">
      <c r="B422" s="190" t="s">
        <v>645</v>
      </c>
      <c r="C422" s="190"/>
      <c r="D422" s="191">
        <f ca="1">+IRR(F420:Z420)</f>
        <v>0.23455247489230668</v>
      </c>
    </row>
    <row r="423" spans="2:26" x14ac:dyDescent="0.35">
      <c r="B423" s="194" t="s">
        <v>646</v>
      </c>
      <c r="C423" s="193"/>
      <c r="D423" s="228">
        <f ca="1">+D422/(1-Assumptions!$M$192)</f>
        <v>0.29690186695228693</v>
      </c>
    </row>
    <row r="425" spans="2:26" x14ac:dyDescent="0.35">
      <c r="B425" s="41" t="s">
        <v>425</v>
      </c>
      <c r="F425" s="151">
        <f ca="1">IFERROR(IF(YEAR(F397)&lt;=YEAR(Assumptions!$F$30),10%*(OFFSET('Phase I Pro Forma'!F413,0,-5))+5%*(OFFSET('Phase I Pro Forma'!F413,0,-7)),0),0)</f>
        <v>0</v>
      </c>
      <c r="G425" s="151">
        <f ca="1">IFERROR(IF(YEAR(G397)&lt;=YEAR(Assumptions!$F$30),10%*(OFFSET('Phase I Pro Forma'!G413,0,-5))+5%*(OFFSET('Phase I Pro Forma'!G413,0,-7)),0),0)</f>
        <v>0</v>
      </c>
      <c r="H425" s="151">
        <f ca="1">IFERROR(IF(YEAR(H397)&lt;=YEAR(Assumptions!$F$30),10%*(OFFSET('Phase I Pro Forma'!H413,0,-5))+5%*(OFFSET('Phase I Pro Forma'!H413,0,-7)),0),0)</f>
        <v>0</v>
      </c>
      <c r="I425" s="151">
        <f ca="1">IFERROR(IF(YEAR(I397)&lt;=YEAR(Assumptions!$F$30),10%*(OFFSET('Phase I Pro Forma'!I413,0,-5))+5%*(OFFSET('Phase I Pro Forma'!I413,0,-7)),0),0)</f>
        <v>0</v>
      </c>
      <c r="J425" s="151">
        <f ca="1">IFERROR(IF(YEAR(J397)&lt;=YEAR(Assumptions!$F$30),10%*(OFFSET('Phase I Pro Forma'!J413,0,-5))+5%*(OFFSET('Phase I Pro Forma'!J413,0,-7)),0),0)</f>
        <v>0</v>
      </c>
      <c r="K425" s="151">
        <f ca="1">IFERROR(IF(YEAR(K397)&lt;=YEAR(Assumptions!$F$30),10%*(OFFSET('Phase I Pro Forma'!K413,0,-5))+5%*(OFFSET('Phase I Pro Forma'!K413,0,-7)),0),0)</f>
        <v>1081411.6065348331</v>
      </c>
      <c r="L425" s="151">
        <f ca="1">IFERROR(IF(YEAR(L397)&lt;=YEAR(Assumptions!$F$30),10%*(OFFSET('Phase I Pro Forma'!L413,0,-5))+5%*(OFFSET('Phase I Pro Forma'!L413,0,-7)),0),0)</f>
        <v>265927.64415259805</v>
      </c>
      <c r="M425" s="151">
        <f ca="1">IFERROR(IF(YEAR(M397)&lt;=YEAR(Assumptions!$F$30),10%*(OFFSET('Phase I Pro Forma'!M413,0,-5))+5%*(OFFSET('Phase I Pro Forma'!M413,0,-7)),0),0)</f>
        <v>540705.80326741654</v>
      </c>
      <c r="N425" s="151">
        <f ca="1">IFERROR(IF(YEAR(N397)&lt;=YEAR(Assumptions!$F$30),10%*(OFFSET('Phase I Pro Forma'!N413,0,-5))+5%*(OFFSET('Phase I Pro Forma'!N413,0,-7)),0),0)</f>
        <v>132963.82207629902</v>
      </c>
      <c r="O425" s="151">
        <f ca="1">IFERROR(IF(YEAR(O397)&lt;=YEAR(Assumptions!$F$30),10%*(OFFSET('Phase I Pro Forma'!O413,0,-5))+5%*(OFFSET('Phase I Pro Forma'!O413,0,-7)),0),0)</f>
        <v>0</v>
      </c>
      <c r="P425" s="151">
        <f ca="1">IFERROR(IF(YEAR(P397)&lt;=YEAR(Assumptions!$F$30),10%*(OFFSET('Phase I Pro Forma'!P413,0,-5))+5%*(OFFSET('Phase I Pro Forma'!P413,0,-7)),0),0)</f>
        <v>0</v>
      </c>
      <c r="Q425" s="151">
        <f ca="1">IFERROR(IF(YEAR(Q397)&lt;=YEAR(Assumptions!$F$30),10%*(OFFSET('Phase I Pro Forma'!Q413,0,-5))+5%*(OFFSET('Phase I Pro Forma'!Q413,0,-7)),0),0)</f>
        <v>0</v>
      </c>
      <c r="R425" s="151">
        <f ca="1">IFERROR(IF(YEAR(R397)&lt;=YEAR(Assumptions!$F$30),10%*(OFFSET('Phase I Pro Forma'!R413,0,-5))+5%*(OFFSET('Phase I Pro Forma'!R413,0,-7)),0),0)</f>
        <v>0</v>
      </c>
      <c r="S425" s="151">
        <f ca="1">IFERROR(IF(YEAR(S397)&lt;=YEAR(Assumptions!$F$30),10%*(OFFSET('Phase I Pro Forma'!S413,0,-5))+5%*(OFFSET('Phase I Pro Forma'!S413,0,-7)),0),0)</f>
        <v>0</v>
      </c>
      <c r="T425" s="151">
        <f ca="1">IFERROR(IF(YEAR(T397)&lt;=YEAR(Assumptions!$F$30),10%*(OFFSET('Phase I Pro Forma'!T413,0,-5))+5%*(OFFSET('Phase I Pro Forma'!T413,0,-7)),0),0)</f>
        <v>0</v>
      </c>
      <c r="U425" s="151">
        <f ca="1">IFERROR(IF(YEAR(U397)&lt;=YEAR(Assumptions!$F$30),10%*(OFFSET('Phase I Pro Forma'!U413,0,-5))+5%*(OFFSET('Phase I Pro Forma'!U413,0,-7)),0),0)</f>
        <v>0</v>
      </c>
      <c r="V425" s="151">
        <f ca="1">IFERROR(IF(YEAR(V397)&lt;=YEAR(Assumptions!$F$30),10%*(OFFSET('Phase I Pro Forma'!V413,0,-5))+5%*(OFFSET('Phase I Pro Forma'!V413,0,-7)),0),0)</f>
        <v>0</v>
      </c>
      <c r="W425" s="151">
        <f ca="1">IFERROR(IF(YEAR(W397)&lt;=YEAR(Assumptions!$F$30),10%*(OFFSET('Phase I Pro Forma'!W413,0,-5))+5%*(OFFSET('Phase I Pro Forma'!W413,0,-7)),0),0)</f>
        <v>0</v>
      </c>
      <c r="X425" s="151">
        <f ca="1">IFERROR(IF(YEAR(X397)&lt;=YEAR(Assumptions!$F$30),10%*(OFFSET('Phase I Pro Forma'!X413,0,-5))+5%*(OFFSET('Phase I Pro Forma'!X413,0,-7)),0),0)</f>
        <v>0</v>
      </c>
      <c r="Y425" s="151">
        <f ca="1">IFERROR(IF(YEAR(Y397)&lt;=YEAR(Assumptions!$F$30),10%*(OFFSET('Phase I Pro Forma'!Y413,0,-5))+5%*(OFFSET('Phase I Pro Forma'!Y413,0,-7)),0),0)</f>
        <v>0</v>
      </c>
      <c r="Z425" s="151">
        <f ca="1">IFERROR(IF(YEAR(Z397)&lt;=YEAR(Assumptions!$F$30),10%*(OFFSET('Phase I Pro Forma'!Z413,0,-5))+5%*(OFFSET('Phase I Pro Forma'!Z413,0,-7)),0),0)</f>
        <v>0</v>
      </c>
    </row>
    <row r="427" spans="2:26" x14ac:dyDescent="0.35">
      <c r="B427" s="148" t="s">
        <v>405</v>
      </c>
    </row>
    <row r="428" spans="2:26" x14ac:dyDescent="0.35">
      <c r="B428" s="33" t="s">
        <v>406</v>
      </c>
      <c r="D428" s="48">
        <f ca="1">+SUM(F428:Z428)</f>
        <v>234310093.77126545</v>
      </c>
      <c r="E428" s="48"/>
      <c r="F428" s="34">
        <v>0</v>
      </c>
      <c r="G428" s="34">
        <f ca="1">+F435</f>
        <v>51495790.787373006</v>
      </c>
      <c r="H428" s="34">
        <f t="shared" ref="H428" ca="1" si="669">+G435</f>
        <v>64159011.937496722</v>
      </c>
      <c r="I428" s="34">
        <f t="shared" ref="I428" ca="1" si="670">+H435</f>
        <v>64159011.937496722</v>
      </c>
      <c r="J428" s="34">
        <f t="shared" ref="J428" ca="1" si="671">+I435</f>
        <v>33861805.306189686</v>
      </c>
      <c r="K428" s="34">
        <f t="shared" ref="K428" ca="1" si="672">+J435</f>
        <v>24865460.214709133</v>
      </c>
      <c r="L428" s="34">
        <f t="shared" ref="L428" ca="1" si="673">+K435</f>
        <v>16040044.473692345</v>
      </c>
      <c r="M428" s="34">
        <f t="shared" ref="M428" ca="1" si="674">+L435</f>
        <v>7396668.4909194792</v>
      </c>
      <c r="N428" s="34">
        <f t="shared" ref="N428" ca="1" si="675">+M435</f>
        <v>-1052835.1493236106</v>
      </c>
      <c r="O428" s="34">
        <f t="shared" ref="O428" ca="1" si="676">+N435</f>
        <v>-9295864.7447724938</v>
      </c>
      <c r="P428" s="34">
        <f t="shared" ref="P428" ca="1" si="677">+O435</f>
        <v>-17318999.482515544</v>
      </c>
      <c r="Q428" s="34">
        <f t="shared" ref="Q428" ca="1" si="678">+P435</f>
        <v>0</v>
      </c>
      <c r="R428" s="34">
        <f t="shared" ref="R428" ca="1" si="679">+Q435</f>
        <v>0</v>
      </c>
      <c r="S428" s="34">
        <f t="shared" ref="S428" ca="1" si="680">+R435</f>
        <v>0</v>
      </c>
      <c r="T428" s="34">
        <f t="shared" ref="T428" ca="1" si="681">+S435</f>
        <v>0</v>
      </c>
      <c r="U428" s="34">
        <f t="shared" ref="U428" ca="1" si="682">+T435</f>
        <v>0</v>
      </c>
      <c r="V428" s="34">
        <f t="shared" ref="V428" ca="1" si="683">+U435</f>
        <v>0</v>
      </c>
      <c r="W428" s="34">
        <f t="shared" ref="W428" ca="1" si="684">+V435</f>
        <v>0</v>
      </c>
      <c r="X428" s="34">
        <f t="shared" ref="X428" ca="1" si="685">+W435</f>
        <v>0</v>
      </c>
      <c r="Y428" s="34">
        <f t="shared" ref="Y428" ca="1" si="686">+X435</f>
        <v>0</v>
      </c>
      <c r="Z428" s="34">
        <f t="shared" ref="Z428" ca="1" si="687">+Y435</f>
        <v>0</v>
      </c>
    </row>
    <row r="429" spans="2:26" x14ac:dyDescent="0.35">
      <c r="B429" s="33" t="s">
        <v>404</v>
      </c>
      <c r="D429" s="48">
        <f t="shared" ref="D429:D434" ca="1" si="688">+SUM(F429:Z429)</f>
        <v>64159011.937496722</v>
      </c>
      <c r="E429" s="48"/>
      <c r="F429" s="151">
        <f ca="1">-F400</f>
        <v>51495790.787373006</v>
      </c>
      <c r="G429" s="151">
        <f t="shared" ref="G429:Z429" ca="1" si="689">-G400</f>
        <v>12663221.150123715</v>
      </c>
      <c r="H429" s="151">
        <f t="shared" ca="1" si="689"/>
        <v>0</v>
      </c>
      <c r="I429" s="151">
        <f t="shared" ca="1" si="689"/>
        <v>0</v>
      </c>
      <c r="J429" s="151">
        <f t="shared" ca="1" si="689"/>
        <v>0</v>
      </c>
      <c r="K429" s="151">
        <f t="shared" ca="1" si="689"/>
        <v>0</v>
      </c>
      <c r="L429" s="151">
        <f t="shared" ca="1" si="689"/>
        <v>0</v>
      </c>
      <c r="M429" s="151">
        <f t="shared" ca="1" si="689"/>
        <v>0</v>
      </c>
      <c r="N429" s="151">
        <f t="shared" ca="1" si="689"/>
        <v>0</v>
      </c>
      <c r="O429" s="151">
        <f t="shared" ca="1" si="689"/>
        <v>0</v>
      </c>
      <c r="P429" s="151">
        <f t="shared" ca="1" si="689"/>
        <v>0</v>
      </c>
      <c r="Q429" s="151">
        <f t="shared" ca="1" si="689"/>
        <v>0</v>
      </c>
      <c r="R429" s="151">
        <f t="shared" ca="1" si="689"/>
        <v>0</v>
      </c>
      <c r="S429" s="151">
        <f t="shared" ca="1" si="689"/>
        <v>0</v>
      </c>
      <c r="T429" s="151">
        <f t="shared" ca="1" si="689"/>
        <v>0</v>
      </c>
      <c r="U429" s="151">
        <f t="shared" ca="1" si="689"/>
        <v>0</v>
      </c>
      <c r="V429" s="151">
        <f t="shared" ca="1" si="689"/>
        <v>0</v>
      </c>
      <c r="W429" s="151">
        <f t="shared" ca="1" si="689"/>
        <v>0</v>
      </c>
      <c r="X429" s="151">
        <f t="shared" ca="1" si="689"/>
        <v>0</v>
      </c>
      <c r="Y429" s="151">
        <f t="shared" ca="1" si="689"/>
        <v>0</v>
      </c>
      <c r="Z429" s="151">
        <f t="shared" ca="1" si="689"/>
        <v>0</v>
      </c>
    </row>
    <row r="430" spans="2:26" x14ac:dyDescent="0.35">
      <c r="B430" s="33" t="s">
        <v>644</v>
      </c>
      <c r="D430" s="48">
        <f t="shared" ca="1" si="688"/>
        <v>70492694.156509146</v>
      </c>
      <c r="E430" s="48"/>
      <c r="F430" s="151">
        <f ca="1">IF(F397&lt;=Assumptions!$F$30,F390-F146-F216-F261,0)</f>
        <v>0</v>
      </c>
      <c r="G430" s="151">
        <f ca="1">IF(G397&lt;=Assumptions!$F$30,G390-G146-G216-G261,0)</f>
        <v>0</v>
      </c>
      <c r="H430" s="151">
        <f ca="1">IF(H397&lt;=Assumptions!$F$30,H390-H146-H216-H261,0)</f>
        <v>0</v>
      </c>
      <c r="I430" s="151">
        <f ca="1">IF(I397&lt;=Assumptions!$F$30,I390-I146-I216-I261,0)</f>
        <v>-5395907.5067422148</v>
      </c>
      <c r="J430" s="151">
        <f ca="1">IF(J397&lt;=Assumptions!$F$30,J390-J146-J216-J261,0)</f>
        <v>7907814.6005351394</v>
      </c>
      <c r="K430" s="151">
        <f ca="1">IF(K397&lt;=Assumptions!$F$30,K390-K146-K216-K261,0)</f>
        <v>8697210.2696306445</v>
      </c>
      <c r="L430" s="151">
        <f ca="1">IF(L397&lt;=Assumptions!$F$30,L390-L146-L216-L261,0)</f>
        <v>10660778.179327117</v>
      </c>
      <c r="M430" s="151">
        <f ca="1">IF(M397&lt;=Assumptions!$F$30,M390-M146-M216-M261,0)</f>
        <v>11181276.748848269</v>
      </c>
      <c r="N430" s="151">
        <f ca="1">IF(N397&lt;=Assumptions!$F$30,N390-N146-N216-N261,0)</f>
        <v>11832313.01801197</v>
      </c>
      <c r="O430" s="151">
        <f ca="1">IF(O397&lt;=Assumptions!$F$30,O390-O146-O216-O261,0)</f>
        <v>12508166.699106889</v>
      </c>
      <c r="P430" s="151">
        <f ca="1">IF(P397&lt;=Assumptions!$F$30,P390-P146-P216-P261,0)</f>
        <v>13101042.147791333</v>
      </c>
      <c r="Q430" s="151">
        <f>IF(Q397&lt;=Assumptions!$F$30,Q390-Q146-Q216-Q261,0)</f>
        <v>0</v>
      </c>
      <c r="R430" s="151">
        <f>IF(R397&lt;=Assumptions!$F$30,R390-R146-R216-R261,0)</f>
        <v>0</v>
      </c>
      <c r="S430" s="151">
        <f>IF(S397&lt;=Assumptions!$F$30,S390-S146-S216-S261,0)</f>
        <v>0</v>
      </c>
      <c r="T430" s="151">
        <f>IF(T397&lt;=Assumptions!$F$30,T390-T146-T216-T261,0)</f>
        <v>0</v>
      </c>
      <c r="U430" s="151">
        <f>IF(U397&lt;=Assumptions!$F$30,U390-U146-U216-U261,0)</f>
        <v>0</v>
      </c>
      <c r="V430" s="151">
        <f>IF(V397&lt;=Assumptions!$F$30,V390-V146-V216-V261,0)</f>
        <v>0</v>
      </c>
      <c r="W430" s="151">
        <f>IF(W397&lt;=Assumptions!$F$30,W390-W146-W216-W261,0)</f>
        <v>0</v>
      </c>
      <c r="X430" s="151">
        <f>IF(X397&lt;=Assumptions!$F$30,X390-X146-X216-X261,0)</f>
        <v>0</v>
      </c>
      <c r="Y430" s="151">
        <f>IF(Y397&lt;=Assumptions!$F$30,Y390-Y146-Y216-Y261,0)</f>
        <v>0</v>
      </c>
      <c r="Z430" s="151">
        <f>IF(Z397&lt;=Assumptions!$F$30,Z390-Z146-Z216-Z261,0)</f>
        <v>0</v>
      </c>
    </row>
    <row r="431" spans="2:26" x14ac:dyDescent="0.35">
      <c r="B431" s="33" t="s">
        <v>416</v>
      </c>
      <c r="D431" s="48">
        <f t="shared" ca="1" si="688"/>
        <v>-81382191.844154909</v>
      </c>
      <c r="E431" s="48"/>
      <c r="F431" s="151">
        <f>+F391</f>
        <v>0</v>
      </c>
      <c r="G431" s="151">
        <f t="shared" ref="G431:Z431" si="690">+G391</f>
        <v>0</v>
      </c>
      <c r="H431" s="151">
        <f t="shared" si="690"/>
        <v>0</v>
      </c>
      <c r="I431" s="151">
        <f t="shared" si="690"/>
        <v>0</v>
      </c>
      <c r="J431" s="151">
        <f t="shared" ca="1" si="690"/>
        <v>-11626027.406307843</v>
      </c>
      <c r="K431" s="151">
        <f t="shared" ca="1" si="690"/>
        <v>-11626027.406307843</v>
      </c>
      <c r="L431" s="151">
        <f t="shared" ca="1" si="690"/>
        <v>-11626027.406307843</v>
      </c>
      <c r="M431" s="151">
        <f t="shared" ca="1" si="690"/>
        <v>-11626027.406307843</v>
      </c>
      <c r="N431" s="151">
        <f t="shared" ca="1" si="690"/>
        <v>-11626027.406307843</v>
      </c>
      <c r="O431" s="151">
        <f t="shared" ca="1" si="690"/>
        <v>-11626027.406307843</v>
      </c>
      <c r="P431" s="151">
        <f t="shared" ca="1" si="690"/>
        <v>-11626027.406307843</v>
      </c>
      <c r="Q431" s="151">
        <f t="shared" si="690"/>
        <v>0</v>
      </c>
      <c r="R431" s="151">
        <f t="shared" si="690"/>
        <v>0</v>
      </c>
      <c r="S431" s="151">
        <f t="shared" si="690"/>
        <v>0</v>
      </c>
      <c r="T431" s="151">
        <f t="shared" si="690"/>
        <v>0</v>
      </c>
      <c r="U431" s="151">
        <f t="shared" si="690"/>
        <v>0</v>
      </c>
      <c r="V431" s="151">
        <f t="shared" si="690"/>
        <v>0</v>
      </c>
      <c r="W431" s="151">
        <f t="shared" si="690"/>
        <v>0</v>
      </c>
      <c r="X431" s="151">
        <f t="shared" si="690"/>
        <v>0</v>
      </c>
      <c r="Y431" s="151">
        <f t="shared" si="690"/>
        <v>0</v>
      </c>
      <c r="Z431" s="151">
        <f t="shared" si="690"/>
        <v>0</v>
      </c>
    </row>
    <row r="432" spans="2:26" x14ac:dyDescent="0.35">
      <c r="B432" s="33" t="s">
        <v>650</v>
      </c>
      <c r="D432" s="48">
        <f t="shared" ca="1" si="688"/>
        <v>-43396580.446119748</v>
      </c>
      <c r="E432" s="48"/>
      <c r="F432" s="151">
        <f ca="1">-F404</f>
        <v>0</v>
      </c>
      <c r="G432" s="151">
        <f t="shared" ref="G432:Z432" ca="1" si="691">-G404</f>
        <v>0</v>
      </c>
      <c r="H432" s="151">
        <f t="shared" ca="1" si="691"/>
        <v>0</v>
      </c>
      <c r="I432" s="151">
        <f t="shared" ca="1" si="691"/>
        <v>10079580.87596829</v>
      </c>
      <c r="J432" s="151">
        <f t="shared" ca="1" si="691"/>
        <v>-5278132.2857078519</v>
      </c>
      <c r="K432" s="151">
        <f t="shared" ca="1" si="691"/>
        <v>-5896598.6043395866</v>
      </c>
      <c r="L432" s="151">
        <f t="shared" ca="1" si="691"/>
        <v>-7678126.75579214</v>
      </c>
      <c r="M432" s="151">
        <f t="shared" ca="1" si="691"/>
        <v>-8004752.9827835169</v>
      </c>
      <c r="N432" s="151">
        <f t="shared" ca="1" si="691"/>
        <v>-8449315.2071530111</v>
      </c>
      <c r="O432" s="151">
        <f t="shared" ca="1" si="691"/>
        <v>-8905274.030542098</v>
      </c>
      <c r="P432" s="151">
        <f t="shared" ca="1" si="691"/>
        <v>-9263961.4557698313</v>
      </c>
      <c r="Q432" s="151">
        <f t="shared" si="691"/>
        <v>0</v>
      </c>
      <c r="R432" s="151">
        <f t="shared" si="691"/>
        <v>0</v>
      </c>
      <c r="S432" s="151">
        <f t="shared" si="691"/>
        <v>0</v>
      </c>
      <c r="T432" s="151">
        <f t="shared" si="691"/>
        <v>0</v>
      </c>
      <c r="U432" s="151">
        <f t="shared" si="691"/>
        <v>0</v>
      </c>
      <c r="V432" s="151">
        <f t="shared" si="691"/>
        <v>0</v>
      </c>
      <c r="W432" s="151">
        <f t="shared" si="691"/>
        <v>0</v>
      </c>
      <c r="X432" s="151">
        <f t="shared" si="691"/>
        <v>0</v>
      </c>
      <c r="Y432" s="151">
        <f t="shared" si="691"/>
        <v>0</v>
      </c>
      <c r="Z432" s="151">
        <f t="shared" si="691"/>
        <v>0</v>
      </c>
    </row>
    <row r="433" spans="2:26" x14ac:dyDescent="0.35">
      <c r="B433" s="33" t="s">
        <v>647</v>
      </c>
      <c r="D433" s="48">
        <f t="shared" ca="1" si="688"/>
        <v>-242809352.06443381</v>
      </c>
      <c r="E433" s="48"/>
      <c r="F433" s="151">
        <f>-F273-F228-F159</f>
        <v>0</v>
      </c>
      <c r="G433" s="151">
        <f t="shared" ref="G433:Z433" si="692">-G273-G228-G159</f>
        <v>0</v>
      </c>
      <c r="H433" s="151">
        <f t="shared" si="692"/>
        <v>0</v>
      </c>
      <c r="I433" s="151">
        <f t="shared" ca="1" si="692"/>
        <v>-34980880.000533104</v>
      </c>
      <c r="J433" s="151">
        <f t="shared" si="692"/>
        <v>0</v>
      </c>
      <c r="K433" s="151">
        <f t="shared" si="692"/>
        <v>0</v>
      </c>
      <c r="L433" s="151">
        <f t="shared" si="692"/>
        <v>0</v>
      </c>
      <c r="M433" s="151">
        <f t="shared" si="692"/>
        <v>0</v>
      </c>
      <c r="N433" s="151">
        <f t="shared" si="692"/>
        <v>0</v>
      </c>
      <c r="O433" s="151">
        <f t="shared" si="692"/>
        <v>0</v>
      </c>
      <c r="P433" s="151">
        <f t="shared" ca="1" si="692"/>
        <v>-207828472.06390071</v>
      </c>
      <c r="Q433" s="151">
        <f t="shared" si="692"/>
        <v>0</v>
      </c>
      <c r="R433" s="151">
        <f t="shared" si="692"/>
        <v>0</v>
      </c>
      <c r="S433" s="151">
        <f t="shared" si="692"/>
        <v>0</v>
      </c>
      <c r="T433" s="151">
        <f t="shared" si="692"/>
        <v>0</v>
      </c>
      <c r="U433" s="151">
        <f t="shared" si="692"/>
        <v>0</v>
      </c>
      <c r="V433" s="151">
        <f t="shared" si="692"/>
        <v>0</v>
      </c>
      <c r="W433" s="151">
        <f t="shared" si="692"/>
        <v>0</v>
      </c>
      <c r="X433" s="151">
        <f t="shared" si="692"/>
        <v>0</v>
      </c>
      <c r="Y433" s="151">
        <f t="shared" si="692"/>
        <v>0</v>
      </c>
      <c r="Z433" s="151">
        <f t="shared" si="692"/>
        <v>0</v>
      </c>
    </row>
    <row r="434" spans="2:26" x14ac:dyDescent="0.35">
      <c r="B434" s="33" t="s">
        <v>420</v>
      </c>
      <c r="D434" s="48">
        <f t="shared" ca="1" si="688"/>
        <v>232936418.26070261</v>
      </c>
      <c r="E434" s="48"/>
      <c r="F434" s="151">
        <f>-IF(YEAR(F397)=YEAR(Assumptions!$F$30),SUM(F428:F433),0)</f>
        <v>0</v>
      </c>
      <c r="G434" s="151">
        <f>-IF(YEAR(G397)=YEAR(Assumptions!$F$30),SUM(G428:G433),0)</f>
        <v>0</v>
      </c>
      <c r="H434" s="151">
        <f>-IF(YEAR(H397)=YEAR(Assumptions!$F$30),SUM(H428:H433),0)</f>
        <v>0</v>
      </c>
      <c r="I434" s="151">
        <f>-IF(YEAR(I397)=YEAR(Assumptions!$F$30),SUM(I428:I433),0)</f>
        <v>0</v>
      </c>
      <c r="J434" s="151">
        <f>-IF(YEAR(J397)=YEAR(Assumptions!$F$30),SUM(J428:J433),0)</f>
        <v>0</v>
      </c>
      <c r="K434" s="151">
        <f>-IF(YEAR(K397)=YEAR(Assumptions!$F$30),SUM(K428:K433),0)</f>
        <v>0</v>
      </c>
      <c r="L434" s="151">
        <f>-IF(YEAR(L397)=YEAR(Assumptions!$F$30),SUM(L428:L433),0)</f>
        <v>0</v>
      </c>
      <c r="M434" s="151">
        <f>-IF(YEAR(M397)=YEAR(Assumptions!$F$30),SUM(M428:M433),0)</f>
        <v>0</v>
      </c>
      <c r="N434" s="151">
        <f>-IF(YEAR(N397)=YEAR(Assumptions!$F$30),SUM(N428:N433),0)</f>
        <v>0</v>
      </c>
      <c r="O434" s="151">
        <f>-IF(YEAR(O397)=YEAR(Assumptions!$F$30),SUM(O428:O433),0)</f>
        <v>0</v>
      </c>
      <c r="P434" s="151">
        <f ca="1">-IF(YEAR(P397)=YEAR(Assumptions!$F$30),SUM(P428:P433),0)</f>
        <v>232936418.26070261</v>
      </c>
      <c r="Q434" s="151">
        <f>-IF(YEAR(Q397)=YEAR(Assumptions!$F$30),SUM(Q428:Q433),0)</f>
        <v>0</v>
      </c>
      <c r="R434" s="151">
        <f>-IF(YEAR(R397)=YEAR(Assumptions!$F$30),SUM(R428:R433),0)</f>
        <v>0</v>
      </c>
      <c r="S434" s="151">
        <f>-IF(YEAR(S397)=YEAR(Assumptions!$F$30),SUM(S428:S433),0)</f>
        <v>0</v>
      </c>
      <c r="T434" s="151">
        <f>-IF(YEAR(T397)=YEAR(Assumptions!$F$30),SUM(T428:T433),0)</f>
        <v>0</v>
      </c>
      <c r="U434" s="151">
        <f>-IF(YEAR(U397)=YEAR(Assumptions!$F$30),SUM(U428:U433),0)</f>
        <v>0</v>
      </c>
      <c r="V434" s="151">
        <f>-IF(YEAR(V397)=YEAR(Assumptions!$F$30),SUM(V428:V433),0)</f>
        <v>0</v>
      </c>
      <c r="W434" s="151">
        <f>-IF(YEAR(W397)=YEAR(Assumptions!$F$30),SUM(W428:W433),0)</f>
        <v>0</v>
      </c>
      <c r="X434" s="151">
        <f>-IF(YEAR(X397)=YEAR(Assumptions!$F$30),SUM(X428:X433),0)</f>
        <v>0</v>
      </c>
      <c r="Y434" s="151">
        <f>-IF(YEAR(Y397)=YEAR(Assumptions!$F$30),SUM(Y428:Y433),0)</f>
        <v>0</v>
      </c>
      <c r="Z434" s="151">
        <f>-IF(YEAR(Z397)=YEAR(Assumptions!$F$30),SUM(Z428:Z433),0)</f>
        <v>0</v>
      </c>
    </row>
    <row r="435" spans="2:26" x14ac:dyDescent="0.35">
      <c r="B435" s="137" t="s">
        <v>408</v>
      </c>
      <c r="C435" s="137"/>
      <c r="D435" s="36">
        <f t="shared" ref="D435" ca="1" si="693">+SUM(F435:Z435)</f>
        <v>234310093.77126545</v>
      </c>
      <c r="E435" s="129"/>
      <c r="F435" s="129">
        <f ca="1">+SUM(F428:F434)</f>
        <v>51495790.787373006</v>
      </c>
      <c r="G435" s="129">
        <f t="shared" ref="G435:Z435" ca="1" si="694">+SUM(G428:G434)</f>
        <v>64159011.937496722</v>
      </c>
      <c r="H435" s="129">
        <f t="shared" ca="1" si="694"/>
        <v>64159011.937496722</v>
      </c>
      <c r="I435" s="129">
        <f t="shared" ca="1" si="694"/>
        <v>33861805.306189686</v>
      </c>
      <c r="J435" s="129">
        <f t="shared" ca="1" si="694"/>
        <v>24865460.214709133</v>
      </c>
      <c r="K435" s="129">
        <f t="shared" ca="1" si="694"/>
        <v>16040044.473692345</v>
      </c>
      <c r="L435" s="129">
        <f t="shared" ca="1" si="694"/>
        <v>7396668.4909194792</v>
      </c>
      <c r="M435" s="129">
        <f t="shared" ca="1" si="694"/>
        <v>-1052835.1493236106</v>
      </c>
      <c r="N435" s="129">
        <f t="shared" ca="1" si="694"/>
        <v>-9295864.7447724938</v>
      </c>
      <c r="O435" s="129">
        <f t="shared" ca="1" si="694"/>
        <v>-17318999.482515544</v>
      </c>
      <c r="P435" s="129">
        <f t="shared" ca="1" si="694"/>
        <v>0</v>
      </c>
      <c r="Q435" s="129">
        <f t="shared" ca="1" si="694"/>
        <v>0</v>
      </c>
      <c r="R435" s="129">
        <f t="shared" ca="1" si="694"/>
        <v>0</v>
      </c>
      <c r="S435" s="129">
        <f t="shared" ca="1" si="694"/>
        <v>0</v>
      </c>
      <c r="T435" s="129">
        <f t="shared" ca="1" si="694"/>
        <v>0</v>
      </c>
      <c r="U435" s="129">
        <f t="shared" ca="1" si="694"/>
        <v>0</v>
      </c>
      <c r="V435" s="129">
        <f t="shared" ca="1" si="694"/>
        <v>0</v>
      </c>
      <c r="W435" s="129">
        <f t="shared" ca="1" si="694"/>
        <v>0</v>
      </c>
      <c r="X435" s="129">
        <f t="shared" ca="1" si="694"/>
        <v>0</v>
      </c>
      <c r="Y435" s="129">
        <f t="shared" ca="1" si="694"/>
        <v>0</v>
      </c>
      <c r="Z435" s="129">
        <f t="shared" ca="1" si="694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2:Z435"/>
  <sheetViews>
    <sheetView showGridLines="0" zoomScale="55" zoomScaleNormal="55" workbookViewId="0">
      <selection activeCell="B320" sqref="B320"/>
    </sheetView>
  </sheetViews>
  <sheetFormatPr defaultColWidth="14.453125" defaultRowHeight="15.5" x14ac:dyDescent="0.35"/>
  <cols>
    <col min="1" max="1" width="8.453125" style="41" customWidth="1"/>
    <col min="2" max="2" width="14.453125" style="41"/>
    <col min="3" max="3" width="23.36328125" style="41" customWidth="1"/>
    <col min="4" max="4" width="16.453125" style="41" bestFit="1" customWidth="1"/>
    <col min="5" max="5" width="14.81640625" style="41" customWidth="1"/>
    <col min="6" max="7" width="14.453125" style="41" customWidth="1"/>
    <col min="8" max="16384" width="14.453125" style="41"/>
  </cols>
  <sheetData>
    <row r="2" spans="1:26" x14ac:dyDescent="0.35">
      <c r="B2" s="146" t="s">
        <v>261</v>
      </c>
      <c r="E2" s="146">
        <v>0</v>
      </c>
      <c r="F2" s="147">
        <f>+IF(F7&gt;=Assumptions!$G$26,'Phase II Pro Forma'!E2+1,'Phase II Pro Forma'!E2)</f>
        <v>0</v>
      </c>
      <c r="G2" s="147">
        <f>+IF(G7&gt;=Assumptions!$G$26,'Phase II Pro Forma'!F2+1,'Phase II Pro Forma'!F2)</f>
        <v>0</v>
      </c>
      <c r="H2" s="147">
        <f>+IF(H7&gt;=Assumptions!$G$26,'Phase II Pro Forma'!G2+1,'Phase II Pro Forma'!G2)</f>
        <v>0</v>
      </c>
      <c r="I2" s="147">
        <f>+IF(I7&gt;=Assumptions!$G$26,'Phase II Pro Forma'!H2+1,'Phase II Pro Forma'!H2)</f>
        <v>1</v>
      </c>
      <c r="J2" s="147">
        <f>+IF(J7&gt;=Assumptions!$G$26,'Phase II Pro Forma'!I2+1,'Phase II Pro Forma'!I2)</f>
        <v>2</v>
      </c>
      <c r="K2" s="147">
        <f>+IF(K7&gt;=Assumptions!$G$26,'Phase II Pro Forma'!J2+1,'Phase II Pro Forma'!J2)</f>
        <v>3</v>
      </c>
      <c r="L2" s="147">
        <f>+IF(L7&gt;=Assumptions!$G$26,'Phase II Pro Forma'!K2+1,'Phase II Pro Forma'!K2)</f>
        <v>4</v>
      </c>
      <c r="M2" s="147">
        <f>+IF(M7&gt;=Assumptions!$G$26,'Phase II Pro Forma'!L2+1,'Phase II Pro Forma'!L2)</f>
        <v>5</v>
      </c>
      <c r="N2" s="147">
        <f>+IF(N7&gt;=Assumptions!$G$26,'Phase II Pro Forma'!M2+1,'Phase II Pro Forma'!M2)</f>
        <v>6</v>
      </c>
      <c r="O2" s="147">
        <f>+IF(O7&gt;=Assumptions!$G$26,'Phase II Pro Forma'!N2+1,'Phase II Pro Forma'!N2)</f>
        <v>7</v>
      </c>
      <c r="P2" s="147">
        <f>+IF(P7&gt;=Assumptions!$G$26,'Phase II Pro Forma'!O2+1,'Phase II Pro Forma'!O2)</f>
        <v>8</v>
      </c>
      <c r="Q2" s="147">
        <f>+IF(Q7&gt;=Assumptions!$G$26,'Phase II Pro Forma'!P2+1,'Phase II Pro Forma'!P2)</f>
        <v>9</v>
      </c>
      <c r="R2" s="147">
        <f>+IF(R7&gt;=Assumptions!$G$26,'Phase II Pro Forma'!Q2+1,'Phase II Pro Forma'!Q2)</f>
        <v>10</v>
      </c>
      <c r="S2" s="147">
        <f>+IF(S7&gt;=Assumptions!$G$26,'Phase II Pro Forma'!R2+1,'Phase II Pro Forma'!R2)</f>
        <v>11</v>
      </c>
      <c r="T2" s="147">
        <f>+IF(T7&gt;=Assumptions!$G$26,'Phase II Pro Forma'!S2+1,'Phase II Pro Forma'!S2)</f>
        <v>12</v>
      </c>
      <c r="U2" s="147">
        <f>+IF(U7&gt;=Assumptions!$G$26,'Phase II Pro Forma'!T2+1,'Phase II Pro Forma'!T2)</f>
        <v>13</v>
      </c>
      <c r="V2" s="147">
        <f>+IF(V7&gt;=Assumptions!$G$26,'Phase II Pro Forma'!U2+1,'Phase II Pro Forma'!U2)</f>
        <v>14</v>
      </c>
      <c r="W2" s="147">
        <f>+IF(W7&gt;=Assumptions!$G$26,'Phase II Pro Forma'!V2+1,'Phase II Pro Forma'!V2)</f>
        <v>15</v>
      </c>
      <c r="X2" s="147">
        <f>+IF(X7&gt;=Assumptions!$G$26,'Phase II Pro Forma'!W2+1,'Phase II Pro Forma'!W2)</f>
        <v>16</v>
      </c>
      <c r="Y2" s="147">
        <f>+IF(Y7&gt;=Assumptions!$G$26,'Phase II Pro Forma'!X2+1,'Phase II Pro Forma'!X2)</f>
        <v>17</v>
      </c>
      <c r="Z2" s="147">
        <f>+IF(Z7&gt;=Assumptions!$G$26,'Phase II Pro Forma'!Y2+1,'Phase II Pro Forma'!Y2)</f>
        <v>18</v>
      </c>
    </row>
    <row r="3" spans="1:26" x14ac:dyDescent="0.35">
      <c r="B3" s="146" t="s">
        <v>282</v>
      </c>
      <c r="F3" s="147">
        <f>+IF(F7&gt;=Assumptions!$G$28,'Phase II Pro Forma'!E3+1,'Phase II Pro Forma'!E3)</f>
        <v>0</v>
      </c>
      <c r="G3" s="147">
        <f>+IF(G7&gt;=Assumptions!$G$28,'Phase II Pro Forma'!F3+1,'Phase II Pro Forma'!F3)</f>
        <v>0</v>
      </c>
      <c r="H3" s="147">
        <f>+IF(H7&gt;=Assumptions!$G$28,'Phase II Pro Forma'!G3+1,'Phase II Pro Forma'!G3)</f>
        <v>0</v>
      </c>
      <c r="I3" s="147">
        <f>+IF(I7&gt;=Assumptions!$G$28,'Phase II Pro Forma'!H3+1,'Phase II Pro Forma'!H3)</f>
        <v>0</v>
      </c>
      <c r="J3" s="147">
        <f>+IF(J7&gt;=Assumptions!$G$28,'Phase II Pro Forma'!I3+1,'Phase II Pro Forma'!I3)</f>
        <v>0</v>
      </c>
      <c r="K3" s="147">
        <f>+IF(K7&gt;=Assumptions!$G$28,'Phase II Pro Forma'!J3+1,'Phase II Pro Forma'!J3)</f>
        <v>1</v>
      </c>
      <c r="L3" s="147">
        <f>+IF(L7&gt;=Assumptions!$G$28,'Phase II Pro Forma'!K3+1,'Phase II Pro Forma'!K3)</f>
        <v>2</v>
      </c>
      <c r="M3" s="147">
        <f>+IF(M7&gt;=Assumptions!$G$28,'Phase II Pro Forma'!L3+1,'Phase II Pro Forma'!L3)</f>
        <v>3</v>
      </c>
      <c r="N3" s="147">
        <f>+IF(N7&gt;=Assumptions!$G$28,'Phase II Pro Forma'!M3+1,'Phase II Pro Forma'!M3)</f>
        <v>4</v>
      </c>
      <c r="O3" s="147">
        <f>+IF(O7&gt;=Assumptions!$G$28,'Phase II Pro Forma'!N3+1,'Phase II Pro Forma'!N3)</f>
        <v>5</v>
      </c>
      <c r="P3" s="147">
        <f>+IF(P7&gt;=Assumptions!$G$28,'Phase II Pro Forma'!O3+1,'Phase II Pro Forma'!O3)</f>
        <v>6</v>
      </c>
      <c r="Q3" s="147">
        <f>+IF(Q7&gt;=Assumptions!$G$28,'Phase II Pro Forma'!P3+1,'Phase II Pro Forma'!P3)</f>
        <v>7</v>
      </c>
      <c r="R3" s="147">
        <f>+IF(R7&gt;=Assumptions!$G$28,'Phase II Pro Forma'!Q3+1,'Phase II Pro Forma'!Q3)</f>
        <v>8</v>
      </c>
      <c r="S3" s="147">
        <f>+IF(S7&gt;=Assumptions!$G$28,'Phase II Pro Forma'!R3+1,'Phase II Pro Forma'!R3)</f>
        <v>9</v>
      </c>
      <c r="T3" s="147">
        <f>+IF(T7&gt;=Assumptions!$G$28,'Phase II Pro Forma'!S3+1,'Phase II Pro Forma'!S3)</f>
        <v>10</v>
      </c>
      <c r="U3" s="147">
        <f>+IF(U7&gt;=Assumptions!$G$28,'Phase II Pro Forma'!T3+1,'Phase II Pro Forma'!T3)</f>
        <v>11</v>
      </c>
      <c r="V3" s="147">
        <f>+IF(V7&gt;=Assumptions!$G$28,'Phase II Pro Forma'!U3+1,'Phase II Pro Forma'!U3)</f>
        <v>12</v>
      </c>
      <c r="W3" s="147">
        <f>+IF(W7&gt;=Assumptions!$G$28,'Phase II Pro Forma'!V3+1,'Phase II Pro Forma'!V3)</f>
        <v>13</v>
      </c>
      <c r="X3" s="147">
        <f>+IF(X7&gt;=Assumptions!$G$28,'Phase II Pro Forma'!W3+1,'Phase II Pro Forma'!W3)</f>
        <v>14</v>
      </c>
      <c r="Y3" s="147">
        <f>+IF(Y7&gt;=Assumptions!$G$28,'Phase II Pro Forma'!X3+1,'Phase II Pro Forma'!X3)</f>
        <v>15</v>
      </c>
      <c r="Z3" s="147">
        <f>+IF(Z7&gt;=Assumptions!$G$28,'Phase II Pro Forma'!Y3+1,'Phase II Pro Forma'!Y3)</f>
        <v>16</v>
      </c>
    </row>
    <row r="4" spans="1:26" x14ac:dyDescent="0.35">
      <c r="F4" s="42"/>
      <c r="G4" s="42"/>
      <c r="H4" s="42"/>
      <c r="I4" s="42"/>
      <c r="J4" s="42"/>
      <c r="K4" s="42"/>
      <c r="L4" s="42"/>
      <c r="M4" s="42"/>
      <c r="N4" s="42"/>
    </row>
    <row r="5" spans="1:26" x14ac:dyDescent="0.35">
      <c r="B5" s="37" t="s">
        <v>777</v>
      </c>
      <c r="C5" s="38"/>
      <c r="D5" s="38"/>
      <c r="E5" s="38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spans="1:26" x14ac:dyDescent="0.35">
      <c r="B6" s="119"/>
      <c r="F6" s="229">
        <f>+YEAR(F7)</f>
        <v>2022</v>
      </c>
      <c r="G6" s="229">
        <f t="shared" ref="G6:Z6" si="0">+YEAR(G7)</f>
        <v>2023</v>
      </c>
      <c r="H6" s="229">
        <f t="shared" si="0"/>
        <v>2024</v>
      </c>
      <c r="I6" s="229">
        <f t="shared" si="0"/>
        <v>2025</v>
      </c>
      <c r="J6" s="229">
        <f t="shared" si="0"/>
        <v>2026</v>
      </c>
      <c r="K6" s="229">
        <f t="shared" si="0"/>
        <v>2027</v>
      </c>
      <c r="L6" s="229">
        <f t="shared" si="0"/>
        <v>2028</v>
      </c>
      <c r="M6" s="229">
        <f t="shared" si="0"/>
        <v>2029</v>
      </c>
      <c r="N6" s="229">
        <f t="shared" si="0"/>
        <v>2030</v>
      </c>
      <c r="O6" s="229">
        <f t="shared" si="0"/>
        <v>2031</v>
      </c>
      <c r="P6" s="229">
        <f t="shared" si="0"/>
        <v>2032</v>
      </c>
      <c r="Q6" s="229">
        <f t="shared" si="0"/>
        <v>2033</v>
      </c>
      <c r="R6" s="229">
        <f t="shared" si="0"/>
        <v>2034</v>
      </c>
      <c r="S6" s="229">
        <f t="shared" si="0"/>
        <v>2035</v>
      </c>
      <c r="T6" s="229">
        <f t="shared" si="0"/>
        <v>2036</v>
      </c>
      <c r="U6" s="229">
        <f t="shared" si="0"/>
        <v>2037</v>
      </c>
      <c r="V6" s="229">
        <f t="shared" si="0"/>
        <v>2038</v>
      </c>
      <c r="W6" s="229">
        <f t="shared" si="0"/>
        <v>2039</v>
      </c>
      <c r="X6" s="229">
        <f t="shared" si="0"/>
        <v>2040</v>
      </c>
      <c r="Y6" s="229">
        <f t="shared" si="0"/>
        <v>2041</v>
      </c>
      <c r="Z6" s="229">
        <f t="shared" si="0"/>
        <v>2042</v>
      </c>
    </row>
    <row r="7" spans="1:26" x14ac:dyDescent="0.35">
      <c r="B7" s="148" t="s">
        <v>143</v>
      </c>
      <c r="C7" s="149"/>
      <c r="D7" s="149"/>
      <c r="E7" s="149"/>
      <c r="F7" s="150">
        <f>+Assumptions!$G$22</f>
        <v>44926</v>
      </c>
      <c r="G7" s="150">
        <f>+EOMONTH(F7,12)</f>
        <v>45291</v>
      </c>
      <c r="H7" s="150">
        <f t="shared" ref="H7:Z7" si="1">+EOMONTH(G7,12)</f>
        <v>45657</v>
      </c>
      <c r="I7" s="150">
        <f t="shared" si="1"/>
        <v>46022</v>
      </c>
      <c r="J7" s="150">
        <f t="shared" si="1"/>
        <v>46387</v>
      </c>
      <c r="K7" s="150">
        <f t="shared" si="1"/>
        <v>46752</v>
      </c>
      <c r="L7" s="150">
        <f t="shared" si="1"/>
        <v>47118</v>
      </c>
      <c r="M7" s="150">
        <f t="shared" si="1"/>
        <v>47483</v>
      </c>
      <c r="N7" s="150">
        <f t="shared" si="1"/>
        <v>47848</v>
      </c>
      <c r="O7" s="150">
        <f t="shared" si="1"/>
        <v>48213</v>
      </c>
      <c r="P7" s="150">
        <f t="shared" si="1"/>
        <v>48579</v>
      </c>
      <c r="Q7" s="150">
        <f t="shared" si="1"/>
        <v>48944</v>
      </c>
      <c r="R7" s="150">
        <f t="shared" si="1"/>
        <v>49309</v>
      </c>
      <c r="S7" s="150">
        <f t="shared" si="1"/>
        <v>49674</v>
      </c>
      <c r="T7" s="150">
        <f t="shared" si="1"/>
        <v>50040</v>
      </c>
      <c r="U7" s="150">
        <f t="shared" si="1"/>
        <v>50405</v>
      </c>
      <c r="V7" s="150">
        <f t="shared" si="1"/>
        <v>50770</v>
      </c>
      <c r="W7" s="150">
        <f t="shared" si="1"/>
        <v>51135</v>
      </c>
      <c r="X7" s="150">
        <f t="shared" si="1"/>
        <v>51501</v>
      </c>
      <c r="Y7" s="150">
        <f t="shared" si="1"/>
        <v>51866</v>
      </c>
      <c r="Z7" s="150">
        <f t="shared" si="1"/>
        <v>52231</v>
      </c>
    </row>
    <row r="8" spans="1:26" x14ac:dyDescent="0.35">
      <c r="A8" s="140" t="b">
        <f>+SUM(F8:Z8)=Assumptions!$F$55</f>
        <v>0</v>
      </c>
      <c r="B8" s="33" t="s">
        <v>766</v>
      </c>
      <c r="C8" s="33"/>
      <c r="D8" s="40"/>
      <c r="E8" s="44">
        <f ca="1">+Assumptions!M14</f>
        <v>0.25394836654862751</v>
      </c>
      <c r="F8" s="42">
        <f>+IF(AND(F7&gt;=Assumptions!$G$26,F7&lt;Assumptions!$G$28),Assumptions!$G$55/ROUNDUP((Assumptions!$G$27/12),0),0)</f>
        <v>0</v>
      </c>
      <c r="G8" s="42">
        <f>+IF(AND(G7&gt;=Assumptions!$G$26,G7&lt;Assumptions!$G$28),Assumptions!$G$55/ROUNDUP((Assumptions!$G$27/12),0),0)</f>
        <v>0</v>
      </c>
      <c r="H8" s="42">
        <f>+IF(AND(H7&gt;=Assumptions!$G$26,H7&lt;Assumptions!$G$28),Assumptions!$G$55/ROUNDUP((Assumptions!$G$27/12),0),0)</f>
        <v>0</v>
      </c>
      <c r="I8" s="42">
        <f>+IF(AND(I7&gt;=Assumptions!$G$26,I7&lt;Assumptions!$G$28),Assumptions!$G$55/ROUNDUP((Assumptions!$G$27/12),0),0)</f>
        <v>37973.710000000006</v>
      </c>
      <c r="J8" s="42">
        <f>+IF(AND(J7&gt;=Assumptions!$G$26,J7&lt;Assumptions!$G$28),Assumptions!$G$55/ROUNDUP((Assumptions!$G$27/12),0),0)</f>
        <v>37973.710000000006</v>
      </c>
      <c r="K8" s="42">
        <f>+IF(AND(K7&gt;=Assumptions!$G$26,K7&lt;Assumptions!$G$28),Assumptions!$G$55/ROUNDUP((Assumptions!$G$27/12),0),0)</f>
        <v>0</v>
      </c>
      <c r="L8" s="42">
        <f>+IF(AND(L7&gt;=Assumptions!$G$26,L7&lt;Assumptions!$G$28),Assumptions!$G$55/ROUNDUP((Assumptions!$G$27/12),0),0)</f>
        <v>0</v>
      </c>
      <c r="M8" s="42">
        <f>+IF(AND(M7&gt;=Assumptions!$G$26,M7&lt;Assumptions!$G$28),Assumptions!$G$55/ROUNDUP((Assumptions!$G$27/12),0),0)</f>
        <v>0</v>
      </c>
      <c r="N8" s="42">
        <f>+IF(AND(N7&gt;=Assumptions!$G$26,N7&lt;Assumptions!$G$28),Assumptions!$G$55/ROUNDUP((Assumptions!$G$27/12),0),0)</f>
        <v>0</v>
      </c>
      <c r="O8" s="42">
        <f>+IF(AND(O7&gt;=Assumptions!$G$26,O7&lt;Assumptions!$G$28),Assumptions!$G$55/ROUNDUP((Assumptions!$G$27/12),0),0)</f>
        <v>0</v>
      </c>
      <c r="P8" s="42">
        <f>+IF(AND(P7&gt;=Assumptions!$G$26,P7&lt;Assumptions!$G$28),Assumptions!$G$55/ROUNDUP((Assumptions!$G$27/12),0),0)</f>
        <v>0</v>
      </c>
      <c r="Q8" s="42">
        <f>+IF(AND(Q7&gt;=Assumptions!$G$26,Q7&lt;Assumptions!$G$28),Assumptions!$G$55/ROUNDUP((Assumptions!$G$27/12),0),0)</f>
        <v>0</v>
      </c>
      <c r="R8" s="42">
        <f>+IF(AND(R7&gt;=Assumptions!$G$26,R7&lt;Assumptions!$G$28),Assumptions!$G$55/ROUNDUP((Assumptions!$G$27/12),0),0)</f>
        <v>0</v>
      </c>
      <c r="S8" s="42">
        <f>+IF(AND(S7&gt;=Assumptions!$G$26,S7&lt;Assumptions!$G$28),Assumptions!$G$55/ROUNDUP((Assumptions!$G$27/12),0),0)</f>
        <v>0</v>
      </c>
      <c r="T8" s="42">
        <f>+IF(AND(T7&gt;=Assumptions!$G$26,T7&lt;Assumptions!$G$28),Assumptions!$G$55/ROUNDUP((Assumptions!$G$27/12),0),0)</f>
        <v>0</v>
      </c>
      <c r="U8" s="42">
        <f>+IF(AND(U7&gt;=Assumptions!$G$26,U7&lt;Assumptions!$G$28),Assumptions!$G$55/ROUNDUP((Assumptions!$G$27/12),0),0)</f>
        <v>0</v>
      </c>
      <c r="V8" s="42">
        <f>+IF(AND(V7&gt;=Assumptions!$G$26,V7&lt;Assumptions!$G$28),Assumptions!$G$55/ROUNDUP((Assumptions!$G$27/12),0),0)</f>
        <v>0</v>
      </c>
      <c r="W8" s="42">
        <f>+IF(AND(W7&gt;=Assumptions!$G$26,W7&lt;Assumptions!$G$28),Assumptions!$G$55/ROUNDUP((Assumptions!$G$27/12),0),0)</f>
        <v>0</v>
      </c>
      <c r="X8" s="42">
        <f>+IF(AND(X7&gt;=Assumptions!$G$26,X7&lt;Assumptions!$G$28),Assumptions!$G$55/ROUNDUP((Assumptions!$G$27/12),0),0)</f>
        <v>0</v>
      </c>
      <c r="Y8" s="42">
        <f>+IF(AND(Y7&gt;=Assumptions!$G$26,Y7&lt;Assumptions!$G$28),Assumptions!$G$55/ROUNDUP((Assumptions!$G$27/12),0),0)</f>
        <v>0</v>
      </c>
      <c r="Z8" s="42">
        <f>+IF(AND(Z7&gt;=Assumptions!$G$26,Z7&lt;Assumptions!$G$28),Assumptions!$G$55/ROUNDUP((Assumptions!$G$27/12),0),0)</f>
        <v>0</v>
      </c>
    </row>
    <row r="9" spans="1:26" x14ac:dyDescent="0.35">
      <c r="B9" s="33" t="s">
        <v>249</v>
      </c>
      <c r="C9" s="33"/>
      <c r="D9" s="42">
        <v>0</v>
      </c>
      <c r="E9" s="42"/>
      <c r="F9" s="42">
        <f>+D9+F8</f>
        <v>0</v>
      </c>
      <c r="G9" s="42">
        <f t="shared" ref="G9:Z9" si="2">+F9+G8</f>
        <v>0</v>
      </c>
      <c r="H9" s="42">
        <f t="shared" si="2"/>
        <v>0</v>
      </c>
      <c r="I9" s="42">
        <f t="shared" si="2"/>
        <v>37973.710000000006</v>
      </c>
      <c r="J9" s="42">
        <f t="shared" si="2"/>
        <v>75947.420000000013</v>
      </c>
      <c r="K9" s="42">
        <f t="shared" si="2"/>
        <v>75947.420000000013</v>
      </c>
      <c r="L9" s="42">
        <f t="shared" si="2"/>
        <v>75947.420000000013</v>
      </c>
      <c r="M9" s="42">
        <f t="shared" si="2"/>
        <v>75947.420000000013</v>
      </c>
      <c r="N9" s="42">
        <f t="shared" si="2"/>
        <v>75947.420000000013</v>
      </c>
      <c r="O9" s="42">
        <f t="shared" si="2"/>
        <v>75947.420000000013</v>
      </c>
      <c r="P9" s="42">
        <f t="shared" si="2"/>
        <v>75947.420000000013</v>
      </c>
      <c r="Q9" s="42">
        <f t="shared" si="2"/>
        <v>75947.420000000013</v>
      </c>
      <c r="R9" s="42">
        <f t="shared" si="2"/>
        <v>75947.420000000013</v>
      </c>
      <c r="S9" s="42">
        <f t="shared" si="2"/>
        <v>75947.420000000013</v>
      </c>
      <c r="T9" s="42">
        <f t="shared" si="2"/>
        <v>75947.420000000013</v>
      </c>
      <c r="U9" s="42">
        <f t="shared" si="2"/>
        <v>75947.420000000013</v>
      </c>
      <c r="V9" s="42">
        <f t="shared" si="2"/>
        <v>75947.420000000013</v>
      </c>
      <c r="W9" s="42">
        <f t="shared" si="2"/>
        <v>75947.420000000013</v>
      </c>
      <c r="X9" s="42">
        <f t="shared" si="2"/>
        <v>75947.420000000013</v>
      </c>
      <c r="Y9" s="42">
        <f t="shared" si="2"/>
        <v>75947.420000000013</v>
      </c>
      <c r="Z9" s="42">
        <f t="shared" si="2"/>
        <v>75947.420000000013</v>
      </c>
    </row>
    <row r="10" spans="1:26" x14ac:dyDescent="0.35">
      <c r="B10" s="33" t="s">
        <v>496</v>
      </c>
      <c r="C10" s="33"/>
      <c r="D10" s="42"/>
      <c r="E10" s="42"/>
      <c r="F10" s="42">
        <f>+F11-E11</f>
        <v>0</v>
      </c>
      <c r="G10" s="42">
        <f t="shared" ref="G10" si="3">+G11-F11</f>
        <v>0</v>
      </c>
      <c r="H10" s="42">
        <f t="shared" ref="H10" si="4">+H11-G11</f>
        <v>0</v>
      </c>
      <c r="I10" s="42">
        <f t="shared" ref="I10" si="5">+I11-H11</f>
        <v>51.954939590909099</v>
      </c>
      <c r="J10" s="42">
        <f t="shared" ref="J10" si="6">+J11-I11</f>
        <v>51.954939590909099</v>
      </c>
      <c r="K10" s="42">
        <f t="shared" ref="K10" si="7">+K11-J11</f>
        <v>0</v>
      </c>
      <c r="L10" s="42">
        <f t="shared" ref="L10" si="8">+L11-K11</f>
        <v>0</v>
      </c>
      <c r="M10" s="42">
        <f t="shared" ref="M10" si="9">+M11-L11</f>
        <v>0</v>
      </c>
      <c r="N10" s="42">
        <f t="shared" ref="N10" si="10">+N11-M11</f>
        <v>0</v>
      </c>
      <c r="O10" s="42">
        <f t="shared" ref="O10" si="11">+O11-N11</f>
        <v>0</v>
      </c>
      <c r="P10" s="42">
        <f t="shared" ref="P10" si="12">+P11-O11</f>
        <v>0</v>
      </c>
      <c r="Q10" s="42">
        <f t="shared" ref="Q10" si="13">+Q11-P11</f>
        <v>0</v>
      </c>
      <c r="R10" s="42">
        <f t="shared" ref="R10" si="14">+R11-Q11</f>
        <v>0</v>
      </c>
      <c r="S10" s="42">
        <f t="shared" ref="S10" si="15">+S11-R11</f>
        <v>0</v>
      </c>
      <c r="T10" s="42">
        <f t="shared" ref="T10" si="16">+T11-S11</f>
        <v>0</v>
      </c>
      <c r="U10" s="42">
        <f t="shared" ref="U10" si="17">+U11-T11</f>
        <v>0</v>
      </c>
      <c r="V10" s="42">
        <f t="shared" ref="V10" si="18">+V11-U11</f>
        <v>0</v>
      </c>
      <c r="W10" s="42">
        <f t="shared" ref="W10" si="19">+W11-V11</f>
        <v>0</v>
      </c>
      <c r="X10" s="42">
        <f t="shared" ref="X10" si="20">+X11-W11</f>
        <v>0</v>
      </c>
      <c r="Y10" s="42">
        <f t="shared" ref="Y10" si="21">+Y11-X11</f>
        <v>0</v>
      </c>
      <c r="Z10" s="42">
        <f t="shared" ref="Z10" si="22">+Z11-Y11</f>
        <v>0</v>
      </c>
    </row>
    <row r="11" spans="1:26" x14ac:dyDescent="0.35">
      <c r="B11" s="33" t="s">
        <v>250</v>
      </c>
      <c r="C11" s="33"/>
      <c r="D11" s="42"/>
      <c r="E11" s="42"/>
      <c r="F11" s="42">
        <f>+F12*Assumptions!$G$56</f>
        <v>0</v>
      </c>
      <c r="G11" s="42">
        <f>+G12*Assumptions!$G$56</f>
        <v>0</v>
      </c>
      <c r="H11" s="42">
        <f>+H12*Assumptions!$G$56</f>
        <v>0</v>
      </c>
      <c r="I11" s="42">
        <f>+I12*Assumptions!$G$56</f>
        <v>51.954939590909099</v>
      </c>
      <c r="J11" s="42">
        <f>+J12*Assumptions!$G$56</f>
        <v>103.9098791818182</v>
      </c>
      <c r="K11" s="42">
        <f>+K12*Assumptions!$G$56</f>
        <v>103.9098791818182</v>
      </c>
      <c r="L11" s="42">
        <f>+L12*Assumptions!$G$56</f>
        <v>103.9098791818182</v>
      </c>
      <c r="M11" s="42">
        <f>+M12*Assumptions!$G$56</f>
        <v>103.9098791818182</v>
      </c>
      <c r="N11" s="42">
        <f>+N12*Assumptions!$G$56</f>
        <v>103.9098791818182</v>
      </c>
      <c r="O11" s="42">
        <f>+O12*Assumptions!$G$56</f>
        <v>103.9098791818182</v>
      </c>
      <c r="P11" s="42">
        <f>+P12*Assumptions!$G$56</f>
        <v>103.9098791818182</v>
      </c>
      <c r="Q11" s="42">
        <f>+Q12*Assumptions!$G$56</f>
        <v>103.9098791818182</v>
      </c>
      <c r="R11" s="42">
        <f>+R12*Assumptions!$G$56</f>
        <v>103.9098791818182</v>
      </c>
      <c r="S11" s="42">
        <f>+S12*Assumptions!$G$56</f>
        <v>103.9098791818182</v>
      </c>
      <c r="T11" s="42">
        <f>+T12*Assumptions!$G$56</f>
        <v>103.9098791818182</v>
      </c>
      <c r="U11" s="42">
        <f>+U12*Assumptions!$G$56</f>
        <v>103.9098791818182</v>
      </c>
      <c r="V11" s="42">
        <f>+V12*Assumptions!$G$56</f>
        <v>103.9098791818182</v>
      </c>
      <c r="W11" s="42">
        <f>+W12*Assumptions!$G$56</f>
        <v>103.9098791818182</v>
      </c>
      <c r="X11" s="42">
        <f>+X12*Assumptions!$G$56</f>
        <v>103.9098791818182</v>
      </c>
      <c r="Y11" s="42">
        <f>+Y12*Assumptions!$G$56</f>
        <v>103.9098791818182</v>
      </c>
      <c r="Z11" s="42">
        <f>+Z12*Assumptions!$G$56</f>
        <v>103.9098791818182</v>
      </c>
    </row>
    <row r="12" spans="1:26" x14ac:dyDescent="0.35">
      <c r="B12" s="33" t="s">
        <v>306</v>
      </c>
      <c r="C12" s="33"/>
      <c r="D12" s="42"/>
      <c r="E12" s="42"/>
      <c r="F12" s="108">
        <f>+F9/SUM($F$8:$Z$8)</f>
        <v>0</v>
      </c>
      <c r="G12" s="108">
        <f t="shared" ref="G12:Z12" si="23">+G9/SUM($F$8:$Z$8)</f>
        <v>0</v>
      </c>
      <c r="H12" s="108">
        <f t="shared" si="23"/>
        <v>0</v>
      </c>
      <c r="I12" s="108">
        <f t="shared" si="23"/>
        <v>0.5</v>
      </c>
      <c r="J12" s="108">
        <f t="shared" si="23"/>
        <v>1</v>
      </c>
      <c r="K12" s="108">
        <f t="shared" si="23"/>
        <v>1</v>
      </c>
      <c r="L12" s="108">
        <f t="shared" si="23"/>
        <v>1</v>
      </c>
      <c r="M12" s="108">
        <f t="shared" si="23"/>
        <v>1</v>
      </c>
      <c r="N12" s="108">
        <f t="shared" si="23"/>
        <v>1</v>
      </c>
      <c r="O12" s="108">
        <f t="shared" si="23"/>
        <v>1</v>
      </c>
      <c r="P12" s="108">
        <f t="shared" si="23"/>
        <v>1</v>
      </c>
      <c r="Q12" s="108">
        <f t="shared" si="23"/>
        <v>1</v>
      </c>
      <c r="R12" s="108">
        <f t="shared" si="23"/>
        <v>1</v>
      </c>
      <c r="S12" s="108">
        <f t="shared" si="23"/>
        <v>1</v>
      </c>
      <c r="T12" s="108">
        <f t="shared" si="23"/>
        <v>1</v>
      </c>
      <c r="U12" s="108">
        <f t="shared" si="23"/>
        <v>1</v>
      </c>
      <c r="V12" s="108">
        <f t="shared" si="23"/>
        <v>1</v>
      </c>
      <c r="W12" s="108">
        <f t="shared" si="23"/>
        <v>1</v>
      </c>
      <c r="X12" s="108">
        <f t="shared" si="23"/>
        <v>1</v>
      </c>
      <c r="Y12" s="108">
        <f t="shared" si="23"/>
        <v>1</v>
      </c>
      <c r="Z12" s="108">
        <f t="shared" si="23"/>
        <v>1</v>
      </c>
    </row>
    <row r="13" spans="1:26" x14ac:dyDescent="0.35">
      <c r="B13" s="33"/>
      <c r="C13" s="33"/>
      <c r="D13" s="42"/>
      <c r="E13" s="42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x14ac:dyDescent="0.35">
      <c r="B14" s="33" t="s">
        <v>254</v>
      </c>
      <c r="C14" s="33"/>
      <c r="D14" s="42"/>
      <c r="E14" s="42"/>
      <c r="F14" s="108">
        <v>1</v>
      </c>
      <c r="G14" s="108">
        <f>+F14*(1+Assumptions!$O$63)</f>
        <v>1.02</v>
      </c>
      <c r="H14" s="108">
        <f>+G14*(1+Assumptions!$O$63)</f>
        <v>1.0404</v>
      </c>
      <c r="I14" s="108">
        <f>+H14*(1+Assumptions!$O$63)</f>
        <v>1.0612079999999999</v>
      </c>
      <c r="J14" s="108">
        <f>+I14*(1+Assumptions!$O$63)</f>
        <v>1.08243216</v>
      </c>
      <c r="K14" s="108">
        <f>+J14*(1+Assumptions!$O$63)</f>
        <v>1.1040808032</v>
      </c>
      <c r="L14" s="108">
        <f>+K14*(1+Assumptions!$O$63)</f>
        <v>1.1261624192640001</v>
      </c>
      <c r="M14" s="108">
        <f>+L14*(1+Assumptions!$O$63)</f>
        <v>1.14868566764928</v>
      </c>
      <c r="N14" s="108">
        <f>+M14*(1+Assumptions!$O$63)</f>
        <v>1.1716593810022657</v>
      </c>
      <c r="O14" s="108">
        <f>+N14*(1+Assumptions!$O$63)</f>
        <v>1.1950925686223111</v>
      </c>
      <c r="P14" s="108">
        <f>+O14*(1+Assumptions!$O$63)</f>
        <v>1.2189944199947573</v>
      </c>
      <c r="Q14" s="108">
        <f>+P14*(1+Assumptions!$O$63)</f>
        <v>1.2433743083946525</v>
      </c>
      <c r="R14" s="108">
        <f>+Q14*(1+Assumptions!$O$63)</f>
        <v>1.2682417945625455</v>
      </c>
      <c r="S14" s="108">
        <f>+R14*(1+Assumptions!$O$63)</f>
        <v>1.2936066304537963</v>
      </c>
      <c r="T14" s="108">
        <f>+S14*(1+Assumptions!$O$63)</f>
        <v>1.3194787630628724</v>
      </c>
      <c r="U14" s="108">
        <f>+T14*(1+Assumptions!$O$63)</f>
        <v>1.3458683383241299</v>
      </c>
      <c r="V14" s="108">
        <f>+U14*(1+Assumptions!$O$63)</f>
        <v>1.3727857050906125</v>
      </c>
      <c r="W14" s="108">
        <f>+V14*(1+Assumptions!$O$63)</f>
        <v>1.4002414191924248</v>
      </c>
      <c r="X14" s="108">
        <f>+W14*(1+Assumptions!$O$63)</f>
        <v>1.4282462475762734</v>
      </c>
      <c r="Y14" s="108">
        <f>+X14*(1+Assumptions!$O$63)</f>
        <v>1.4568111725277988</v>
      </c>
      <c r="Z14" s="108">
        <f>+Y14*(1+Assumptions!$O$63)</f>
        <v>1.4859473959783549</v>
      </c>
    </row>
    <row r="15" spans="1:26" x14ac:dyDescent="0.35">
      <c r="B15" s="33" t="s">
        <v>255</v>
      </c>
      <c r="C15" s="33"/>
      <c r="D15" s="42"/>
      <c r="E15" s="42"/>
      <c r="F15" s="108">
        <v>1</v>
      </c>
      <c r="G15" s="108">
        <f>+F15*(1+Assumptions!$O$76)</f>
        <v>1.03</v>
      </c>
      <c r="H15" s="108">
        <f>+G15*(1+Assumptions!$O$76)</f>
        <v>1.0609</v>
      </c>
      <c r="I15" s="108">
        <f>+H15*(1+Assumptions!$O$76)</f>
        <v>1.092727</v>
      </c>
      <c r="J15" s="108">
        <f>+I15*(1+Assumptions!$O$76)</f>
        <v>1.1255088100000001</v>
      </c>
      <c r="K15" s="108">
        <f>+J15*(1+Assumptions!$O$76)</f>
        <v>1.1592740743000001</v>
      </c>
      <c r="L15" s="108">
        <f>+K15*(1+Assumptions!$O$76)</f>
        <v>1.1940522965290001</v>
      </c>
      <c r="M15" s="108">
        <f>+L15*(1+Assumptions!$O$76)</f>
        <v>1.2298738654248702</v>
      </c>
      <c r="N15" s="108">
        <f>+M15*(1+Assumptions!$O$76)</f>
        <v>1.2667700813876164</v>
      </c>
      <c r="O15" s="108">
        <f>+N15*(1+Assumptions!$O$76)</f>
        <v>1.3047731838292449</v>
      </c>
      <c r="P15" s="108">
        <f>+O15*(1+Assumptions!$O$76)</f>
        <v>1.3439163793441222</v>
      </c>
      <c r="Q15" s="108">
        <f>+P15*(1+Assumptions!$O$76)</f>
        <v>1.3842338707244459</v>
      </c>
      <c r="R15" s="108">
        <f>+Q15*(1+Assumptions!$O$76)</f>
        <v>1.4257608868461793</v>
      </c>
      <c r="S15" s="108">
        <f>+R15*(1+Assumptions!$O$76)</f>
        <v>1.4685337134515648</v>
      </c>
      <c r="T15" s="108">
        <f>+S15*(1+Assumptions!$O$76)</f>
        <v>1.5125897248551119</v>
      </c>
      <c r="U15" s="108">
        <f>+T15*(1+Assumptions!$O$76)</f>
        <v>1.5579674166007653</v>
      </c>
      <c r="V15" s="108">
        <f>+U15*(1+Assumptions!$O$76)</f>
        <v>1.6047064390987884</v>
      </c>
      <c r="W15" s="108">
        <f>+V15*(1+Assumptions!$O$76)</f>
        <v>1.652847632271752</v>
      </c>
      <c r="X15" s="108">
        <f>+W15*(1+Assumptions!$O$76)</f>
        <v>1.7024330612399046</v>
      </c>
      <c r="Y15" s="108">
        <f>+X15*(1+Assumptions!$O$76)</f>
        <v>1.7535060530771018</v>
      </c>
      <c r="Z15" s="108">
        <f>+Y15*(1+Assumptions!$O$76)</f>
        <v>1.806111234669415</v>
      </c>
    </row>
    <row r="16" spans="1:26" x14ac:dyDescent="0.35">
      <c r="B16" s="33"/>
      <c r="C16" s="33"/>
      <c r="D16" s="40"/>
      <c r="E16" s="40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2:26" x14ac:dyDescent="0.35">
      <c r="B17" s="33" t="s">
        <v>246</v>
      </c>
      <c r="C17" s="33"/>
      <c r="D17" s="40"/>
      <c r="E17" s="40"/>
      <c r="F17" s="34">
        <f>+F12*Assumptions!$G$54*F14</f>
        <v>0</v>
      </c>
      <c r="G17" s="34">
        <f>+G12*Assumptions!$G$54*G14</f>
        <v>0</v>
      </c>
      <c r="H17" s="34">
        <f>+H12*Assumptions!$G$54*H14</f>
        <v>0</v>
      </c>
      <c r="I17" s="34">
        <f>+I12*Assumptions!$G$54*I14</f>
        <v>508704.70285694679</v>
      </c>
      <c r="J17" s="34">
        <f>+J12*Assumptions!$G$54*J14</f>
        <v>1037757.5938281715</v>
      </c>
      <c r="K17" s="34">
        <f>+K12*Assumptions!$G$54*K14</f>
        <v>1058512.7457047349</v>
      </c>
      <c r="L17" s="34">
        <f>+L12*Assumptions!$G$54*L14</f>
        <v>1079683.0006188296</v>
      </c>
      <c r="M17" s="34">
        <f>+M12*Assumptions!$G$54*M14</f>
        <v>1101276.6606312064</v>
      </c>
      <c r="N17" s="34">
        <f>+N12*Assumptions!$G$54*N14</f>
        <v>1123302.1938438304</v>
      </c>
      <c r="O17" s="34">
        <f>+O12*Assumptions!$G$54*O14</f>
        <v>1145768.2377207072</v>
      </c>
      <c r="P17" s="34">
        <f>+P12*Assumptions!$G$54*P14</f>
        <v>1168683.6024751214</v>
      </c>
      <c r="Q17" s="34">
        <f>+Q12*Assumptions!$G$54*Q14</f>
        <v>1192057.2745246238</v>
      </c>
      <c r="R17" s="34">
        <f>+R12*Assumptions!$G$54*R14</f>
        <v>1215898.4200151162</v>
      </c>
      <c r="S17" s="34">
        <f>+S12*Assumptions!$G$54*S14</f>
        <v>1240216.3884154183</v>
      </c>
      <c r="T17" s="34">
        <f>+T12*Assumptions!$G$54*T14</f>
        <v>1265020.7161837269</v>
      </c>
      <c r="U17" s="34">
        <f>+U12*Assumptions!$G$54*U14</f>
        <v>1290321.1305074014</v>
      </c>
      <c r="V17" s="34">
        <f>+V12*Assumptions!$G$54*V14</f>
        <v>1316127.5531175495</v>
      </c>
      <c r="W17" s="34">
        <f>+W12*Assumptions!$G$54*W14</f>
        <v>1342450.1041799006</v>
      </c>
      <c r="X17" s="34">
        <f>+X12*Assumptions!$G$54*X14</f>
        <v>1369299.1062634988</v>
      </c>
      <c r="Y17" s="34">
        <f>+Y12*Assumptions!$G$54*Y14</f>
        <v>1396685.0883887685</v>
      </c>
      <c r="Z17" s="34">
        <f>+Z12*Assumptions!$G$54*Z14</f>
        <v>1424618.7901565442</v>
      </c>
    </row>
    <row r="18" spans="2:26" x14ac:dyDescent="0.35">
      <c r="B18" s="33" t="s">
        <v>247</v>
      </c>
      <c r="C18" s="33"/>
      <c r="D18" s="40"/>
      <c r="E18" s="40"/>
      <c r="F18" s="42">
        <f>-F17*Assumptions!$O$54</f>
        <v>0</v>
      </c>
      <c r="G18" s="42">
        <f>-G17*Assumptions!$O$54</f>
        <v>0</v>
      </c>
      <c r="H18" s="42">
        <f>-H17*Assumptions!$O$54</f>
        <v>0</v>
      </c>
      <c r="I18" s="42">
        <f>-I17*Assumptions!$O$54</f>
        <v>-15261.141085708403</v>
      </c>
      <c r="J18" s="42">
        <f>-J17*Assumptions!$O$54</f>
        <v>-31132.727814845144</v>
      </c>
      <c r="K18" s="42">
        <f>-K17*Assumptions!$O$54</f>
        <v>-31755.382371142048</v>
      </c>
      <c r="L18" s="42">
        <f>-L17*Assumptions!$O$54</f>
        <v>-32390.490018564888</v>
      </c>
      <c r="M18" s="42">
        <f>-M17*Assumptions!$O$54</f>
        <v>-33038.29981893619</v>
      </c>
      <c r="N18" s="42">
        <f>-N17*Assumptions!$O$54</f>
        <v>-33699.065815314912</v>
      </c>
      <c r="O18" s="42">
        <f>-O17*Assumptions!$O$54</f>
        <v>-34373.047131621213</v>
      </c>
      <c r="P18" s="42">
        <f>-P17*Assumptions!$O$54</f>
        <v>-35060.508074253637</v>
      </c>
      <c r="Q18" s="42">
        <f>-Q17*Assumptions!$O$54</f>
        <v>-35761.718235738714</v>
      </c>
      <c r="R18" s="42">
        <f>-R17*Assumptions!$O$54</f>
        <v>-36476.952600453486</v>
      </c>
      <c r="S18" s="42">
        <f>-S17*Assumptions!$O$54</f>
        <v>-37206.491652462551</v>
      </c>
      <c r="T18" s="42">
        <f>-T17*Assumptions!$O$54</f>
        <v>-37950.621485511809</v>
      </c>
      <c r="U18" s="42">
        <f>-U17*Assumptions!$O$54</f>
        <v>-38709.633915222039</v>
      </c>
      <c r="V18" s="42">
        <f>-V17*Assumptions!$O$54</f>
        <v>-39483.826593526486</v>
      </c>
      <c r="W18" s="42">
        <f>-W17*Assumptions!$O$54</f>
        <v>-40273.503125397016</v>
      </c>
      <c r="X18" s="42">
        <f>-X17*Assumptions!$O$54</f>
        <v>-41078.973187904965</v>
      </c>
      <c r="Y18" s="42">
        <f>-Y17*Assumptions!$O$54</f>
        <v>-41900.552651663056</v>
      </c>
      <c r="Z18" s="42">
        <f>-Z17*Assumptions!$O$54</f>
        <v>-42738.563704696324</v>
      </c>
    </row>
    <row r="19" spans="2:26" x14ac:dyDescent="0.35">
      <c r="B19" s="33" t="s">
        <v>385</v>
      </c>
      <c r="C19" s="33"/>
      <c r="D19" s="40"/>
      <c r="E19" s="40"/>
      <c r="F19" s="151">
        <f>+F11*Assumptions!$G$89*(1-Assumptions!$O$54)*12</f>
        <v>0</v>
      </c>
      <c r="G19" s="151">
        <f>+G11*Assumptions!$G$89*(1-Assumptions!$O$54)*12</f>
        <v>0</v>
      </c>
      <c r="H19" s="151">
        <f>+H11*Assumptions!$G$89*(1-Assumptions!$O$54)*12</f>
        <v>0</v>
      </c>
      <c r="I19" s="151">
        <f>+I11*Assumptions!$G$89*(1-Assumptions!$O$54)*12</f>
        <v>3023.7774841909095</v>
      </c>
      <c r="J19" s="151">
        <f>+J11*Assumptions!$G$89*(1-Assumptions!$O$54)*12</f>
        <v>6047.554968381819</v>
      </c>
      <c r="K19" s="151">
        <f>+K11*Assumptions!$G$89*(1-Assumptions!$O$54)*12</f>
        <v>6047.554968381819</v>
      </c>
      <c r="L19" s="151">
        <f>+L11*Assumptions!$G$89*(1-Assumptions!$O$54)*12</f>
        <v>6047.554968381819</v>
      </c>
      <c r="M19" s="151">
        <f>+M11*Assumptions!$G$89*(1-Assumptions!$O$54)*12</f>
        <v>6047.554968381819</v>
      </c>
      <c r="N19" s="151">
        <f>+N11*Assumptions!$G$89*(1-Assumptions!$O$54)*12</f>
        <v>6047.554968381819</v>
      </c>
      <c r="O19" s="151">
        <f>+O11*Assumptions!$G$89*(1-Assumptions!$O$54)*12</f>
        <v>6047.554968381819</v>
      </c>
      <c r="P19" s="151">
        <f>+P11*Assumptions!$G$89*(1-Assumptions!$O$54)*12</f>
        <v>6047.554968381819</v>
      </c>
      <c r="Q19" s="151">
        <f>+Q11*Assumptions!$G$89*(1-Assumptions!$O$54)*12</f>
        <v>6047.554968381819</v>
      </c>
      <c r="R19" s="151">
        <f>+R11*Assumptions!$G$89*(1-Assumptions!$O$54)*12</f>
        <v>6047.554968381819</v>
      </c>
      <c r="S19" s="151">
        <f>+S11*Assumptions!$G$89*(1-Assumptions!$O$54)*12</f>
        <v>6047.554968381819</v>
      </c>
      <c r="T19" s="151">
        <f>+T11*Assumptions!$G$89*(1-Assumptions!$O$54)*12</f>
        <v>6047.554968381819</v>
      </c>
      <c r="U19" s="151">
        <f>+U11*Assumptions!$G$89*(1-Assumptions!$O$54)*12</f>
        <v>6047.554968381819</v>
      </c>
      <c r="V19" s="151">
        <f>+V11*Assumptions!$G$89*(1-Assumptions!$O$54)*12</f>
        <v>6047.554968381819</v>
      </c>
      <c r="W19" s="151">
        <f>+W11*Assumptions!$G$89*(1-Assumptions!$O$54)*12</f>
        <v>6047.554968381819</v>
      </c>
      <c r="X19" s="151">
        <f>+X11*Assumptions!$G$89*(1-Assumptions!$O$54)*12</f>
        <v>6047.554968381819</v>
      </c>
      <c r="Y19" s="151">
        <f>+Y11*Assumptions!$G$89*(1-Assumptions!$O$54)*12</f>
        <v>6047.554968381819</v>
      </c>
      <c r="Z19" s="151">
        <f>+Z11*Assumptions!$G$89*(1-Assumptions!$O$54)*12</f>
        <v>6047.554968381819</v>
      </c>
    </row>
    <row r="20" spans="2:26" x14ac:dyDescent="0.35">
      <c r="B20" s="137" t="s">
        <v>256</v>
      </c>
      <c r="C20" s="137"/>
      <c r="D20" s="137"/>
      <c r="E20" s="137"/>
      <c r="F20" s="129">
        <f t="shared" ref="F20:Z20" si="24">+SUM(F17:F19)</f>
        <v>0</v>
      </c>
      <c r="G20" s="129">
        <f t="shared" si="24"/>
        <v>0</v>
      </c>
      <c r="H20" s="129">
        <f t="shared" si="24"/>
        <v>0</v>
      </c>
      <c r="I20" s="129">
        <f t="shared" si="24"/>
        <v>496467.33925542928</v>
      </c>
      <c r="J20" s="129">
        <f t="shared" si="24"/>
        <v>1012672.4209817081</v>
      </c>
      <c r="K20" s="129">
        <f t="shared" si="24"/>
        <v>1032804.9183019747</v>
      </c>
      <c r="L20" s="129">
        <f t="shared" si="24"/>
        <v>1053340.0655686466</v>
      </c>
      <c r="M20" s="129">
        <f t="shared" si="24"/>
        <v>1074285.9157806518</v>
      </c>
      <c r="N20" s="129">
        <f t="shared" si="24"/>
        <v>1095650.6829968973</v>
      </c>
      <c r="O20" s="129">
        <f t="shared" si="24"/>
        <v>1117442.7455574677</v>
      </c>
      <c r="P20" s="129">
        <f t="shared" si="24"/>
        <v>1139670.6493692496</v>
      </c>
      <c r="Q20" s="129">
        <f t="shared" si="24"/>
        <v>1162343.1112572667</v>
      </c>
      <c r="R20" s="129">
        <f t="shared" si="24"/>
        <v>1185469.0223830445</v>
      </c>
      <c r="S20" s="129">
        <f t="shared" si="24"/>
        <v>1209057.4517313375</v>
      </c>
      <c r="T20" s="129">
        <f t="shared" si="24"/>
        <v>1233117.6496665969</v>
      </c>
      <c r="U20" s="129">
        <f t="shared" si="24"/>
        <v>1257659.0515605612</v>
      </c>
      <c r="V20" s="129">
        <f t="shared" si="24"/>
        <v>1282691.2814924049</v>
      </c>
      <c r="W20" s="129">
        <f t="shared" si="24"/>
        <v>1308224.1560228853</v>
      </c>
      <c r="X20" s="129">
        <f t="shared" si="24"/>
        <v>1334267.6880439755</v>
      </c>
      <c r="Y20" s="129">
        <f t="shared" si="24"/>
        <v>1360832.0907054872</v>
      </c>
      <c r="Z20" s="129">
        <f t="shared" si="24"/>
        <v>1387927.7814202297</v>
      </c>
    </row>
    <row r="22" spans="2:26" x14ac:dyDescent="0.35">
      <c r="B22" s="33" t="s">
        <v>395</v>
      </c>
      <c r="F22" s="34">
        <f>+F11*Assumptions!$O$95*F15</f>
        <v>0</v>
      </c>
      <c r="G22" s="34">
        <f>+G11*Assumptions!$O$95*G15</f>
        <v>0</v>
      </c>
      <c r="H22" s="34">
        <f>+H11*Assumptions!$O$95*H15</f>
        <v>0</v>
      </c>
      <c r="I22" s="34">
        <f>+I11*Assumptions!$O$95*I15</f>
        <v>342583.82608634786</v>
      </c>
      <c r="J22" s="34">
        <f>+J11*Assumptions!$O$95*J15</f>
        <v>705722.68173787661</v>
      </c>
      <c r="K22" s="34">
        <f>+K11*Assumptions!$O$95*K15</f>
        <v>726894.36219001294</v>
      </c>
      <c r="L22" s="34">
        <f>+L11*Assumptions!$O$95*L15</f>
        <v>748701.19305571332</v>
      </c>
      <c r="M22" s="34">
        <f>+M11*Assumptions!$O$95*M15</f>
        <v>771162.2288473848</v>
      </c>
      <c r="N22" s="34">
        <f>+N11*Assumptions!$O$95*N15</f>
        <v>794297.09571280633</v>
      </c>
      <c r="O22" s="34">
        <f>+O11*Assumptions!$O$95*O15</f>
        <v>818126.00858419063</v>
      </c>
      <c r="P22" s="34">
        <f>+P11*Assumptions!$O$95*P15</f>
        <v>842669.78884171625</v>
      </c>
      <c r="Q22" s="34">
        <f>+Q11*Assumptions!$O$95*Q15</f>
        <v>867949.88250696776</v>
      </c>
      <c r="R22" s="34">
        <f>+R11*Assumptions!$O$95*R15</f>
        <v>893988.37898217677</v>
      </c>
      <c r="S22" s="34">
        <f>+S11*Assumptions!$O$95*S15</f>
        <v>920808.03035164217</v>
      </c>
      <c r="T22" s="34">
        <f>+T11*Assumptions!$O$95*T15</f>
        <v>948432.27126219159</v>
      </c>
      <c r="U22" s="34">
        <f>+U11*Assumptions!$O$95*U15</f>
        <v>976885.23940005735</v>
      </c>
      <c r="V22" s="34">
        <f>+V11*Assumptions!$O$95*V15</f>
        <v>1006191.7965820591</v>
      </c>
      <c r="W22" s="34">
        <f>+W11*Assumptions!$O$95*W15</f>
        <v>1036377.5504795209</v>
      </c>
      <c r="X22" s="34">
        <f>+X11*Assumptions!$O$95*X15</f>
        <v>1067468.8769939065</v>
      </c>
      <c r="Y22" s="34">
        <f>+Y11*Assumptions!$O$95*Y15</f>
        <v>1099492.9433037238</v>
      </c>
      <c r="Z22" s="34">
        <f>+Z11*Assumptions!$O$95*Z15</f>
        <v>1132477.7316028357</v>
      </c>
    </row>
    <row r="23" spans="2:26" x14ac:dyDescent="0.35">
      <c r="B23" s="33" t="s">
        <v>331</v>
      </c>
      <c r="F23" s="151">
        <f ca="1">+IFERROR(INDEX('Taxes and TIF'!$AC$11:$AC$45,MATCH('Phase II Pro Forma'!F$7,'Taxes and TIF'!$R$11:$R$45,0)),0)*'Loan Sizing'!$K$15*F12</f>
        <v>0</v>
      </c>
      <c r="G23" s="151">
        <f ca="1">+IFERROR(INDEX('Taxes and TIF'!$AC$11:$AC$45,MATCH('Phase II Pro Forma'!G$7,'Taxes and TIF'!$R$11:$R$45,0)),0)*'Loan Sizing'!$K$15*G12</f>
        <v>0</v>
      </c>
      <c r="H23" s="151">
        <f ca="1">+IFERROR(INDEX('Taxes and TIF'!$AC$11:$AC$45,MATCH('Phase II Pro Forma'!H$7,'Taxes and TIF'!$R$11:$R$45,0)),0)*'Loan Sizing'!$K$15*H12</f>
        <v>0</v>
      </c>
      <c r="I23" s="151">
        <f ca="1">+IFERROR(INDEX('Taxes and TIF'!$AC$11:$AC$45,MATCH('Phase II Pro Forma'!I$7,'Taxes and TIF'!$R$11:$R$45,0)),0)*'Loan Sizing'!$K$15*I12</f>
        <v>39912.378647743913</v>
      </c>
      <c r="J23" s="151">
        <f ca="1">+IFERROR(INDEX('Taxes and TIF'!$AC$11:$AC$45,MATCH('Phase II Pro Forma'!J$7,'Taxes and TIF'!$R$11:$R$45,0)),0)*'Loan Sizing'!$K$15*J12</f>
        <v>81421.252441397563</v>
      </c>
      <c r="K23" s="151">
        <f ca="1">+IFERROR(INDEX('Taxes and TIF'!$AC$11:$AC$45,MATCH('Phase II Pro Forma'!K$7,'Taxes and TIF'!$R$11:$R$45,0)),0)*'Loan Sizing'!$K$15*K12</f>
        <v>81421.252441397563</v>
      </c>
      <c r="L23" s="151">
        <f ca="1">+IFERROR(INDEX('Taxes and TIF'!$AC$11:$AC$45,MATCH('Phase II Pro Forma'!L$7,'Taxes and TIF'!$R$11:$R$45,0)),0)*'Loan Sizing'!$K$15*L12</f>
        <v>81421.252441397563</v>
      </c>
      <c r="M23" s="151">
        <f ca="1">+IFERROR(INDEX('Taxes and TIF'!$AC$11:$AC$45,MATCH('Phase II Pro Forma'!M$7,'Taxes and TIF'!$R$11:$R$45,0)),0)*'Loan Sizing'!$K$15*M12</f>
        <v>83049.677490225527</v>
      </c>
      <c r="N23" s="151">
        <f ca="1">+IFERROR(INDEX('Taxes and TIF'!$AC$11:$AC$45,MATCH('Phase II Pro Forma'!N$7,'Taxes and TIF'!$R$11:$R$45,0)),0)*'Loan Sizing'!$K$15*N12</f>
        <v>83049.677490225527</v>
      </c>
      <c r="O23" s="151">
        <f ca="1">+IFERROR(INDEX('Taxes and TIF'!$AC$11:$AC$45,MATCH('Phase II Pro Forma'!O$7,'Taxes and TIF'!$R$11:$R$45,0)),0)*'Loan Sizing'!$K$15*O12</f>
        <v>83049.677490225527</v>
      </c>
      <c r="P23" s="151">
        <f ca="1">+IFERROR(INDEX('Taxes and TIF'!$AC$11:$AC$45,MATCH('Phase II Pro Forma'!P$7,'Taxes and TIF'!$R$11:$R$45,0)),0)*'Loan Sizing'!$K$15*P12</f>
        <v>84710.671040030036</v>
      </c>
      <c r="Q23" s="151">
        <f ca="1">+IFERROR(INDEX('Taxes and TIF'!$AC$11:$AC$45,MATCH('Phase II Pro Forma'!Q$7,'Taxes and TIF'!$R$11:$R$45,0)),0)*'Loan Sizing'!$K$15*Q12</f>
        <v>84710.671040030036</v>
      </c>
      <c r="R23" s="151">
        <f ca="1">+IFERROR(INDEX('Taxes and TIF'!$AC$11:$AC$45,MATCH('Phase II Pro Forma'!R$7,'Taxes and TIF'!$R$11:$R$45,0)),0)*'Loan Sizing'!$K$15*R12</f>
        <v>84710.671040030036</v>
      </c>
      <c r="S23" s="151">
        <f ca="1">+IFERROR(INDEX('Taxes and TIF'!$AC$11:$AC$45,MATCH('Phase II Pro Forma'!S$7,'Taxes and TIF'!$R$11:$R$45,0)),0)*'Loan Sizing'!$K$15*S12</f>
        <v>86404.884460830639</v>
      </c>
      <c r="T23" s="151">
        <f ca="1">+IFERROR(INDEX('Taxes and TIF'!$AC$11:$AC$45,MATCH('Phase II Pro Forma'!T$7,'Taxes and TIF'!$R$11:$R$45,0)),0)*'Loan Sizing'!$K$15*T12</f>
        <v>86404.884460830639</v>
      </c>
      <c r="U23" s="151">
        <f ca="1">+IFERROR(INDEX('Taxes and TIF'!$AC$11:$AC$45,MATCH('Phase II Pro Forma'!U$7,'Taxes and TIF'!$R$11:$R$45,0)),0)*'Loan Sizing'!$K$15*U12</f>
        <v>86404.884460830639</v>
      </c>
      <c r="V23" s="151">
        <f ca="1">+IFERROR(INDEX('Taxes and TIF'!$AC$11:$AC$45,MATCH('Phase II Pro Forma'!V$7,'Taxes and TIF'!$R$11:$R$45,0)),0)*'Loan Sizing'!$K$15*V12</f>
        <v>88132.982150047261</v>
      </c>
      <c r="W23" s="151">
        <f ca="1">+IFERROR(INDEX('Taxes and TIF'!$AC$11:$AC$45,MATCH('Phase II Pro Forma'!W$7,'Taxes and TIF'!$R$11:$R$45,0)),0)*'Loan Sizing'!$K$15*W12</f>
        <v>88132.982150047261</v>
      </c>
      <c r="X23" s="151">
        <f ca="1">+IFERROR(INDEX('Taxes and TIF'!$AC$11:$AC$45,MATCH('Phase II Pro Forma'!X$7,'Taxes and TIF'!$R$11:$R$45,0)),0)*'Loan Sizing'!$K$15*X12</f>
        <v>88132.982150047261</v>
      </c>
      <c r="Y23" s="151">
        <f ca="1">+IFERROR(INDEX('Taxes and TIF'!$AC$11:$AC$45,MATCH('Phase II Pro Forma'!Y$7,'Taxes and TIF'!$R$11:$R$45,0)),0)*'Loan Sizing'!$K$15*Y12</f>
        <v>89895.641793048213</v>
      </c>
      <c r="Z23" s="151">
        <f ca="1">+IFERROR(INDEX('Taxes and TIF'!$AC$11:$AC$45,MATCH('Phase II Pro Forma'!Z$7,'Taxes and TIF'!$R$11:$R$45,0)),0)*'Loan Sizing'!$K$15*Z12</f>
        <v>89895.641793048213</v>
      </c>
    </row>
    <row r="24" spans="2:26" x14ac:dyDescent="0.35">
      <c r="B24" s="137" t="s">
        <v>252</v>
      </c>
      <c r="C24" s="137"/>
      <c r="D24" s="137"/>
      <c r="E24" s="137"/>
      <c r="F24" s="129">
        <f t="shared" ref="F24:Z24" ca="1" si="25">+SUM(F22:F23)</f>
        <v>0</v>
      </c>
      <c r="G24" s="129">
        <f t="shared" ca="1" si="25"/>
        <v>0</v>
      </c>
      <c r="H24" s="129">
        <f t="shared" ca="1" si="25"/>
        <v>0</v>
      </c>
      <c r="I24" s="129">
        <f t="shared" ca="1" si="25"/>
        <v>382496.20473409176</v>
      </c>
      <c r="J24" s="129">
        <f t="shared" ca="1" si="25"/>
        <v>787143.93417927413</v>
      </c>
      <c r="K24" s="129">
        <f t="shared" ca="1" si="25"/>
        <v>808315.61463141046</v>
      </c>
      <c r="L24" s="129">
        <f t="shared" ca="1" si="25"/>
        <v>830122.44549711084</v>
      </c>
      <c r="M24" s="129">
        <f t="shared" ca="1" si="25"/>
        <v>854211.90633761033</v>
      </c>
      <c r="N24" s="129">
        <f t="shared" ca="1" si="25"/>
        <v>877346.77320303186</v>
      </c>
      <c r="O24" s="129">
        <f t="shared" ca="1" si="25"/>
        <v>901175.68607441615</v>
      </c>
      <c r="P24" s="129">
        <f t="shared" ca="1" si="25"/>
        <v>927380.45988174633</v>
      </c>
      <c r="Q24" s="129">
        <f t="shared" ca="1" si="25"/>
        <v>952660.55354699783</v>
      </c>
      <c r="R24" s="129">
        <f t="shared" ca="1" si="25"/>
        <v>978699.05002220685</v>
      </c>
      <c r="S24" s="129">
        <f t="shared" ca="1" si="25"/>
        <v>1007212.9148124728</v>
      </c>
      <c r="T24" s="129">
        <f t="shared" ca="1" si="25"/>
        <v>1034837.1557230222</v>
      </c>
      <c r="U24" s="129">
        <f t="shared" ca="1" si="25"/>
        <v>1063290.123860888</v>
      </c>
      <c r="V24" s="129">
        <f t="shared" ca="1" si="25"/>
        <v>1094324.7787321063</v>
      </c>
      <c r="W24" s="129">
        <f t="shared" ca="1" si="25"/>
        <v>1124510.5326295681</v>
      </c>
      <c r="X24" s="129">
        <f t="shared" ca="1" si="25"/>
        <v>1155601.8591439538</v>
      </c>
      <c r="Y24" s="129">
        <f t="shared" ca="1" si="25"/>
        <v>1189388.5850967721</v>
      </c>
      <c r="Z24" s="129">
        <f t="shared" ca="1" si="25"/>
        <v>1222373.3733958839</v>
      </c>
    </row>
    <row r="25" spans="2:26" x14ac:dyDescent="0.35">
      <c r="B25" s="33"/>
    </row>
    <row r="26" spans="2:26" x14ac:dyDescent="0.35">
      <c r="B26" s="138" t="s">
        <v>251</v>
      </c>
      <c r="C26" s="138"/>
      <c r="D26" s="138"/>
      <c r="E26" s="138"/>
      <c r="F26" s="139">
        <f t="shared" ref="F26:Z26" ca="1" si="26">+F20-F24</f>
        <v>0</v>
      </c>
      <c r="G26" s="139">
        <f t="shared" ca="1" si="26"/>
        <v>0</v>
      </c>
      <c r="H26" s="139">
        <f t="shared" ca="1" si="26"/>
        <v>0</v>
      </c>
      <c r="I26" s="139">
        <f t="shared" ca="1" si="26"/>
        <v>113971.13452133752</v>
      </c>
      <c r="J26" s="139">
        <f t="shared" ca="1" si="26"/>
        <v>225528.48680243397</v>
      </c>
      <c r="K26" s="139">
        <f t="shared" ca="1" si="26"/>
        <v>224489.3036705642</v>
      </c>
      <c r="L26" s="139">
        <f t="shared" ca="1" si="26"/>
        <v>223217.62007153581</v>
      </c>
      <c r="M26" s="139">
        <f t="shared" ca="1" si="26"/>
        <v>220074.00944304152</v>
      </c>
      <c r="N26" s="139">
        <f t="shared" ca="1" si="26"/>
        <v>218303.9097938654</v>
      </c>
      <c r="O26" s="139">
        <f t="shared" ca="1" si="26"/>
        <v>216267.05948305153</v>
      </c>
      <c r="P26" s="139">
        <f t="shared" ca="1" si="26"/>
        <v>212290.18948750326</v>
      </c>
      <c r="Q26" s="139">
        <f t="shared" ca="1" si="26"/>
        <v>209682.55771026888</v>
      </c>
      <c r="R26" s="139">
        <f t="shared" ca="1" si="26"/>
        <v>206769.97236083762</v>
      </c>
      <c r="S26" s="139">
        <f t="shared" ca="1" si="26"/>
        <v>201844.5369188647</v>
      </c>
      <c r="T26" s="139">
        <f t="shared" ca="1" si="26"/>
        <v>198280.49394357472</v>
      </c>
      <c r="U26" s="139">
        <f t="shared" ca="1" si="26"/>
        <v>194368.92769967322</v>
      </c>
      <c r="V26" s="139">
        <f t="shared" ca="1" si="26"/>
        <v>188366.50276029855</v>
      </c>
      <c r="W26" s="139">
        <f t="shared" ca="1" si="26"/>
        <v>183713.62339331722</v>
      </c>
      <c r="X26" s="139">
        <f t="shared" ca="1" si="26"/>
        <v>178665.82890002173</v>
      </c>
      <c r="Y26" s="139">
        <f t="shared" ca="1" si="26"/>
        <v>171443.50560871512</v>
      </c>
      <c r="Z26" s="139">
        <f t="shared" ca="1" si="26"/>
        <v>165554.40802434576</v>
      </c>
    </row>
    <row r="27" spans="2:26" x14ac:dyDescent="0.35">
      <c r="B27" s="143" t="s">
        <v>257</v>
      </c>
      <c r="C27" s="141"/>
      <c r="D27" s="141"/>
      <c r="E27" s="141"/>
      <c r="F27" s="144" t="str">
        <f t="shared" ref="F27:Z27" ca="1" si="27">+IFERROR(F26/F20,"")</f>
        <v/>
      </c>
      <c r="G27" s="144" t="str">
        <f t="shared" ca="1" si="27"/>
        <v/>
      </c>
      <c r="H27" s="144" t="str">
        <f t="shared" ca="1" si="27"/>
        <v/>
      </c>
      <c r="I27" s="145">
        <f t="shared" ca="1" si="27"/>
        <v>0.22956421401710797</v>
      </c>
      <c r="J27" s="145">
        <f t="shared" ca="1" si="27"/>
        <v>0.22270625932895599</v>
      </c>
      <c r="K27" s="145">
        <f t="shared" ca="1" si="27"/>
        <v>0.21735886389817455</v>
      </c>
      <c r="L27" s="145">
        <f t="shared" ca="1" si="27"/>
        <v>0.2119141076733197</v>
      </c>
      <c r="M27" s="145">
        <f t="shared" ca="1" si="27"/>
        <v>0.20485608738817007</v>
      </c>
      <c r="N27" s="145">
        <f t="shared" ca="1" si="27"/>
        <v>0.19924590307993592</v>
      </c>
      <c r="O27" s="145">
        <f t="shared" ca="1" si="27"/>
        <v>0.19353748578425881</v>
      </c>
      <c r="P27" s="145">
        <f t="shared" ca="1" si="27"/>
        <v>0.18627327956984346</v>
      </c>
      <c r="Q27" s="145">
        <f t="shared" ca="1" si="27"/>
        <v>0.18039643860706711</v>
      </c>
      <c r="R27" s="145">
        <f t="shared" ca="1" si="27"/>
        <v>0.17442039265200374</v>
      </c>
      <c r="S27" s="145">
        <f t="shared" ca="1" si="27"/>
        <v>0.16694371026772037</v>
      </c>
      <c r="T27" s="145">
        <f t="shared" ca="1" si="27"/>
        <v>0.16079608786492078</v>
      </c>
      <c r="U27" s="145">
        <f t="shared" ca="1" si="27"/>
        <v>0.15454818812657636</v>
      </c>
      <c r="V27" s="145">
        <f t="shared" ca="1" si="27"/>
        <v>0.1468525634173915</v>
      </c>
      <c r="W27" s="145">
        <f t="shared" ca="1" si="27"/>
        <v>0.14042977462809014</v>
      </c>
      <c r="X27" s="145">
        <f t="shared" ca="1" si="27"/>
        <v>0.13390553522430287</v>
      </c>
      <c r="Y27" s="145">
        <f t="shared" ca="1" si="27"/>
        <v>0.12598432001984522</v>
      </c>
      <c r="Z27" s="145">
        <f t="shared" ca="1" si="27"/>
        <v>0.11928171641246227</v>
      </c>
    </row>
    <row r="28" spans="2:26" x14ac:dyDescent="0.35">
      <c r="B28" s="143" t="s">
        <v>191</v>
      </c>
      <c r="C28" s="141"/>
      <c r="D28" s="141"/>
      <c r="E28" s="141"/>
      <c r="F28" s="142">
        <f ca="1">+F26/Assumptions!$O$128</f>
        <v>0</v>
      </c>
      <c r="G28" s="142">
        <f ca="1">+G26/Assumptions!$O$128</f>
        <v>0</v>
      </c>
      <c r="H28" s="142">
        <f ca="1">+H26/Assumptions!$O$128</f>
        <v>0</v>
      </c>
      <c r="I28" s="142">
        <f ca="1">+I26/Assumptions!$O$128</f>
        <v>1982106.6873276089</v>
      </c>
      <c r="J28" s="142">
        <f ca="1">+J26/Assumptions!$O$128</f>
        <v>3922234.5530858082</v>
      </c>
      <c r="K28" s="142">
        <f ca="1">+K26/Assumptions!$O$128</f>
        <v>3904161.8029663339</v>
      </c>
      <c r="L28" s="142">
        <f ca="1">+L26/Assumptions!$O$128</f>
        <v>3882045.5664614923</v>
      </c>
      <c r="M28" s="142">
        <f ca="1">+M26/Assumptions!$O$128</f>
        <v>3827374.0772702871</v>
      </c>
      <c r="N28" s="142">
        <f ca="1">+N26/Assumptions!$O$128</f>
        <v>3796589.7355454853</v>
      </c>
      <c r="O28" s="142">
        <f ca="1">+O26/Assumptions!$O$128</f>
        <v>3761166.251879157</v>
      </c>
      <c r="P28" s="142">
        <f ca="1">+P26/Assumptions!$O$128</f>
        <v>3692003.2954348391</v>
      </c>
      <c r="Q28" s="142">
        <f ca="1">+Q26/Assumptions!$O$128</f>
        <v>3646653.1775698937</v>
      </c>
      <c r="R28" s="142">
        <f ca="1">+R26/Assumptions!$O$128</f>
        <v>3595999.519318915</v>
      </c>
      <c r="S28" s="142">
        <f ca="1">+S26/Assumptions!$O$128</f>
        <v>3510339.7725019949</v>
      </c>
      <c r="T28" s="142">
        <f ca="1">+T26/Assumptions!$O$128</f>
        <v>3448356.4164099949</v>
      </c>
      <c r="U28" s="142">
        <f ca="1">+U26/Assumptions!$O$128</f>
        <v>3380329.1773856212</v>
      </c>
      <c r="V28" s="142">
        <f ca="1">+V26/Assumptions!$O$128</f>
        <v>3275939.1784399748</v>
      </c>
      <c r="W28" s="142">
        <f ca="1">+W26/Assumptions!$O$128</f>
        <v>3195019.537275082</v>
      </c>
      <c r="X28" s="142">
        <f ca="1">+X26/Assumptions!$O$128</f>
        <v>3107231.8069568994</v>
      </c>
      <c r="Y28" s="142">
        <f ca="1">+Y26/Assumptions!$O$128</f>
        <v>2981626.1844993932</v>
      </c>
      <c r="Z28" s="142">
        <f ca="1">+Z26/Assumptions!$O$128</f>
        <v>2879207.0960755781</v>
      </c>
    </row>
    <row r="30" spans="2:26" x14ac:dyDescent="0.35">
      <c r="B30" s="148" t="s">
        <v>263</v>
      </c>
      <c r="C30" s="149"/>
      <c r="D30" s="149"/>
      <c r="E30" s="149"/>
      <c r="F30" s="150">
        <f>+Assumptions!$G$22</f>
        <v>44926</v>
      </c>
      <c r="G30" s="150">
        <f>+EOMONTH(F30,12)</f>
        <v>45291</v>
      </c>
      <c r="H30" s="150">
        <f t="shared" ref="H30:Z30" si="28">+EOMONTH(G30,12)</f>
        <v>45657</v>
      </c>
      <c r="I30" s="150">
        <f t="shared" si="28"/>
        <v>46022</v>
      </c>
      <c r="J30" s="150">
        <f t="shared" si="28"/>
        <v>46387</v>
      </c>
      <c r="K30" s="150">
        <f t="shared" si="28"/>
        <v>46752</v>
      </c>
      <c r="L30" s="150">
        <f t="shared" si="28"/>
        <v>47118</v>
      </c>
      <c r="M30" s="150">
        <f t="shared" si="28"/>
        <v>47483</v>
      </c>
      <c r="N30" s="150">
        <f t="shared" si="28"/>
        <v>47848</v>
      </c>
      <c r="O30" s="150">
        <f t="shared" si="28"/>
        <v>48213</v>
      </c>
      <c r="P30" s="150">
        <f t="shared" si="28"/>
        <v>48579</v>
      </c>
      <c r="Q30" s="150">
        <f t="shared" si="28"/>
        <v>48944</v>
      </c>
      <c r="R30" s="150">
        <f t="shared" si="28"/>
        <v>49309</v>
      </c>
      <c r="S30" s="150">
        <f t="shared" si="28"/>
        <v>49674</v>
      </c>
      <c r="T30" s="150">
        <f t="shared" si="28"/>
        <v>50040</v>
      </c>
      <c r="U30" s="150">
        <f t="shared" si="28"/>
        <v>50405</v>
      </c>
      <c r="V30" s="150">
        <f t="shared" si="28"/>
        <v>50770</v>
      </c>
      <c r="W30" s="150">
        <f t="shared" si="28"/>
        <v>51135</v>
      </c>
      <c r="X30" s="150">
        <f t="shared" si="28"/>
        <v>51501</v>
      </c>
      <c r="Y30" s="150">
        <f t="shared" si="28"/>
        <v>51866</v>
      </c>
      <c r="Z30" s="150">
        <f t="shared" si="28"/>
        <v>52231</v>
      </c>
    </row>
    <row r="31" spans="2:26" x14ac:dyDescent="0.35">
      <c r="B31" s="33" t="s">
        <v>766</v>
      </c>
      <c r="C31" s="33"/>
      <c r="D31" s="40"/>
      <c r="E31" s="40"/>
      <c r="F31" s="42">
        <f>+IF(AND(F30&gt;=Assumptions!$G$26,F30&lt;Assumptions!$G$28),Assumptions!$G$83/ROUNDUP((Assumptions!$G$27/12),0),0)</f>
        <v>0</v>
      </c>
      <c r="G31" s="42">
        <f>+IF(AND(G30&gt;=Assumptions!$G$26,G30&lt;Assumptions!$G$28),Assumptions!$G$83/ROUNDUP((Assumptions!$G$27/12),0),0)</f>
        <v>0</v>
      </c>
      <c r="H31" s="42">
        <f>+IF(AND(H30&gt;=Assumptions!$G$26,H30&lt;Assumptions!$G$28),Assumptions!$G$83/ROUNDUP((Assumptions!$G$27/12),0),0)</f>
        <v>0</v>
      </c>
      <c r="I31" s="42">
        <f>+IF(AND(I30&gt;=Assumptions!$G$26,I30&lt;Assumptions!$G$28),Assumptions!$G$83/ROUNDUP((Assumptions!$G$27/12),0),0)</f>
        <v>151894.84000000003</v>
      </c>
      <c r="J31" s="42">
        <f>+IF(AND(J30&gt;=Assumptions!$G$26,J30&lt;Assumptions!$G$28),Assumptions!$G$83/ROUNDUP((Assumptions!$G$27/12),0),0)</f>
        <v>151894.84000000003</v>
      </c>
      <c r="K31" s="42">
        <f>+IF(AND(K30&gt;=Assumptions!$G$26,K30&lt;Assumptions!$G$28),Assumptions!$G$83/ROUNDUP((Assumptions!$G$27/12),0),0)</f>
        <v>0</v>
      </c>
      <c r="L31" s="42">
        <f>+IF(AND(L30&gt;=Assumptions!$G$26,L30&lt;Assumptions!$G$28),Assumptions!$G$83/ROUNDUP((Assumptions!$G$27/12),0),0)</f>
        <v>0</v>
      </c>
      <c r="M31" s="42">
        <f>+IF(AND(M30&gt;=Assumptions!$G$26,M30&lt;Assumptions!$G$28),Assumptions!$G$83/ROUNDUP((Assumptions!$G$27/12),0),0)</f>
        <v>0</v>
      </c>
      <c r="N31" s="42">
        <f>+IF(AND(N30&gt;=Assumptions!$G$26,N30&lt;Assumptions!$G$28),Assumptions!$G$83/ROUNDUP((Assumptions!$G$27/12),0),0)</f>
        <v>0</v>
      </c>
      <c r="O31" s="42">
        <f>+IF(AND(O30&gt;=Assumptions!$G$26,O30&lt;Assumptions!$G$28),Assumptions!$G$83/ROUNDUP((Assumptions!$G$27/12),0),0)</f>
        <v>0</v>
      </c>
      <c r="P31" s="42">
        <f>+IF(AND(P30&gt;=Assumptions!$G$26,P30&lt;Assumptions!$G$28),Assumptions!$G$83/ROUNDUP((Assumptions!$G$27/12),0),0)</f>
        <v>0</v>
      </c>
      <c r="Q31" s="42">
        <f>+IF(AND(Q30&gt;=Assumptions!$G$26,Q30&lt;Assumptions!$G$28),Assumptions!$G$83/ROUNDUP((Assumptions!$G$27/12),0),0)</f>
        <v>0</v>
      </c>
      <c r="R31" s="42">
        <f>+IF(AND(R30&gt;=Assumptions!$G$26,R30&lt;Assumptions!$G$28),Assumptions!$G$83/ROUNDUP((Assumptions!$G$27/12),0),0)</f>
        <v>0</v>
      </c>
      <c r="S31" s="42">
        <f>+IF(AND(S30&gt;=Assumptions!$G$26,S30&lt;Assumptions!$G$28),Assumptions!$G$83/ROUNDUP((Assumptions!$G$27/12),0),0)</f>
        <v>0</v>
      </c>
      <c r="T31" s="42">
        <f>+IF(AND(T30&gt;=Assumptions!$G$26,T30&lt;Assumptions!$G$28),Assumptions!$G$83/ROUNDUP((Assumptions!$G$27/12),0),0)</f>
        <v>0</v>
      </c>
      <c r="U31" s="42">
        <f>+IF(AND(U30&gt;=Assumptions!$G$26,U30&lt;Assumptions!$G$28),Assumptions!$G$83/ROUNDUP((Assumptions!$G$27/12),0),0)</f>
        <v>0</v>
      </c>
      <c r="V31" s="42">
        <f>+IF(AND(V30&gt;=Assumptions!$G$26,V30&lt;Assumptions!$G$28),Assumptions!$G$83/ROUNDUP((Assumptions!$G$27/12),0),0)</f>
        <v>0</v>
      </c>
      <c r="W31" s="42">
        <f>+IF(AND(W30&gt;=Assumptions!$G$26,W30&lt;Assumptions!$G$28),Assumptions!$G$83/ROUNDUP((Assumptions!$G$27/12),0),0)</f>
        <v>0</v>
      </c>
      <c r="X31" s="42">
        <f>+IF(AND(X30&gt;=Assumptions!$G$26,X30&lt;Assumptions!$G$28),Assumptions!$G$83/ROUNDUP((Assumptions!$G$27/12),0),0)</f>
        <v>0</v>
      </c>
      <c r="Y31" s="42">
        <f>+IF(AND(Y30&gt;=Assumptions!$G$26,Y30&lt;Assumptions!$G$28),Assumptions!$G$83/ROUNDUP((Assumptions!$G$27/12),0),0)</f>
        <v>0</v>
      </c>
      <c r="Z31" s="42">
        <f>+IF(AND(Z30&gt;=Assumptions!$G$26,Z30&lt;Assumptions!$G$28),Assumptions!$G$83/ROUNDUP((Assumptions!$G$27/12),0),0)</f>
        <v>0</v>
      </c>
    </row>
    <row r="32" spans="2:26" x14ac:dyDescent="0.35">
      <c r="B32" s="33" t="s">
        <v>249</v>
      </c>
      <c r="C32" s="33"/>
      <c r="D32" s="42">
        <v>0</v>
      </c>
      <c r="E32" s="42"/>
      <c r="F32" s="42">
        <f>+D32+F31</f>
        <v>0</v>
      </c>
      <c r="G32" s="42">
        <f t="shared" ref="G32:Z32" si="29">+F32+G31</f>
        <v>0</v>
      </c>
      <c r="H32" s="42">
        <f t="shared" si="29"/>
        <v>0</v>
      </c>
      <c r="I32" s="42">
        <f t="shared" si="29"/>
        <v>151894.84000000003</v>
      </c>
      <c r="J32" s="42">
        <f t="shared" si="29"/>
        <v>303789.68000000005</v>
      </c>
      <c r="K32" s="42">
        <f t="shared" si="29"/>
        <v>303789.68000000005</v>
      </c>
      <c r="L32" s="42">
        <f t="shared" si="29"/>
        <v>303789.68000000005</v>
      </c>
      <c r="M32" s="42">
        <f t="shared" si="29"/>
        <v>303789.68000000005</v>
      </c>
      <c r="N32" s="42">
        <f t="shared" si="29"/>
        <v>303789.68000000005</v>
      </c>
      <c r="O32" s="42">
        <f t="shared" si="29"/>
        <v>303789.68000000005</v>
      </c>
      <c r="P32" s="42">
        <f t="shared" si="29"/>
        <v>303789.68000000005</v>
      </c>
      <c r="Q32" s="42">
        <f t="shared" si="29"/>
        <v>303789.68000000005</v>
      </c>
      <c r="R32" s="42">
        <f t="shared" si="29"/>
        <v>303789.68000000005</v>
      </c>
      <c r="S32" s="42">
        <f t="shared" si="29"/>
        <v>303789.68000000005</v>
      </c>
      <c r="T32" s="42">
        <f t="shared" si="29"/>
        <v>303789.68000000005</v>
      </c>
      <c r="U32" s="42">
        <f t="shared" si="29"/>
        <v>303789.68000000005</v>
      </c>
      <c r="V32" s="42">
        <f t="shared" si="29"/>
        <v>303789.68000000005</v>
      </c>
      <c r="W32" s="42">
        <f t="shared" si="29"/>
        <v>303789.68000000005</v>
      </c>
      <c r="X32" s="42">
        <f t="shared" si="29"/>
        <v>303789.68000000005</v>
      </c>
      <c r="Y32" s="42">
        <f t="shared" si="29"/>
        <v>303789.68000000005</v>
      </c>
      <c r="Z32" s="42">
        <f t="shared" si="29"/>
        <v>303789.68000000005</v>
      </c>
    </row>
    <row r="33" spans="2:26" x14ac:dyDescent="0.35">
      <c r="B33" s="33" t="s">
        <v>496</v>
      </c>
      <c r="C33" s="33"/>
      <c r="D33" s="42"/>
      <c r="E33" s="42"/>
      <c r="F33" s="42">
        <f>+F34-E34</f>
        <v>0</v>
      </c>
      <c r="G33" s="42">
        <f t="shared" ref="G33" si="30">+G34-F34</f>
        <v>0</v>
      </c>
      <c r="H33" s="42">
        <f t="shared" ref="H33" si="31">+H34-G34</f>
        <v>0</v>
      </c>
      <c r="I33" s="42">
        <f t="shared" ref="I33" si="32">+I34-H34</f>
        <v>207.8197583636364</v>
      </c>
      <c r="J33" s="42">
        <f t="shared" ref="J33" si="33">+J34-I34</f>
        <v>207.8197583636364</v>
      </c>
      <c r="K33" s="42">
        <f t="shared" ref="K33" si="34">+K34-J34</f>
        <v>0</v>
      </c>
      <c r="L33" s="42">
        <f t="shared" ref="L33" si="35">+L34-K34</f>
        <v>0</v>
      </c>
      <c r="M33" s="42">
        <f t="shared" ref="M33" si="36">+M34-L34</f>
        <v>0</v>
      </c>
      <c r="N33" s="42">
        <f t="shared" ref="N33" si="37">+N34-M34</f>
        <v>0</v>
      </c>
      <c r="O33" s="42">
        <f t="shared" ref="O33" si="38">+O34-N34</f>
        <v>0</v>
      </c>
      <c r="P33" s="42">
        <f t="shared" ref="P33" si="39">+P34-O34</f>
        <v>0</v>
      </c>
      <c r="Q33" s="42">
        <f t="shared" ref="Q33" si="40">+Q34-P34</f>
        <v>0</v>
      </c>
      <c r="R33" s="42">
        <f t="shared" ref="R33" si="41">+R34-Q34</f>
        <v>0</v>
      </c>
      <c r="S33" s="42">
        <f t="shared" ref="S33" si="42">+S34-R34</f>
        <v>0</v>
      </c>
      <c r="T33" s="42">
        <f t="shared" ref="T33" si="43">+T34-S34</f>
        <v>0</v>
      </c>
      <c r="U33" s="42">
        <f t="shared" ref="U33" si="44">+U34-T34</f>
        <v>0</v>
      </c>
      <c r="V33" s="42">
        <f t="shared" ref="V33" si="45">+V34-U34</f>
        <v>0</v>
      </c>
      <c r="W33" s="42">
        <f t="shared" ref="W33" si="46">+W34-V34</f>
        <v>0</v>
      </c>
      <c r="X33" s="42">
        <f t="shared" ref="X33" si="47">+X34-W34</f>
        <v>0</v>
      </c>
      <c r="Y33" s="42">
        <f t="shared" ref="Y33" si="48">+Y34-X34</f>
        <v>0</v>
      </c>
      <c r="Z33" s="42">
        <f t="shared" ref="Z33" si="49">+Z34-Y34</f>
        <v>0</v>
      </c>
    </row>
    <row r="34" spans="2:26" x14ac:dyDescent="0.35">
      <c r="B34" s="33" t="s">
        <v>250</v>
      </c>
      <c r="C34" s="33"/>
      <c r="D34" s="42"/>
      <c r="E34" s="42"/>
      <c r="F34" s="42">
        <f>+F35*Assumptions!$G$84</f>
        <v>0</v>
      </c>
      <c r="G34" s="42">
        <f>+G35*Assumptions!$G$84</f>
        <v>0</v>
      </c>
      <c r="H34" s="42">
        <f>+H35*Assumptions!$G$84</f>
        <v>0</v>
      </c>
      <c r="I34" s="42">
        <f>+I35*Assumptions!$G$84</f>
        <v>207.8197583636364</v>
      </c>
      <c r="J34" s="42">
        <f>+J35*Assumptions!$G$84</f>
        <v>415.63951672727279</v>
      </c>
      <c r="K34" s="42">
        <f>+K35*Assumptions!$G$84</f>
        <v>415.63951672727279</v>
      </c>
      <c r="L34" s="42">
        <f>+L35*Assumptions!$G$84</f>
        <v>415.63951672727279</v>
      </c>
      <c r="M34" s="42">
        <f>+M35*Assumptions!$G$84</f>
        <v>415.63951672727279</v>
      </c>
      <c r="N34" s="42">
        <f>+N35*Assumptions!$G$84</f>
        <v>415.63951672727279</v>
      </c>
      <c r="O34" s="42">
        <f>+O35*Assumptions!$G$84</f>
        <v>415.63951672727279</v>
      </c>
      <c r="P34" s="42">
        <f>+P35*Assumptions!$G$84</f>
        <v>415.63951672727279</v>
      </c>
      <c r="Q34" s="42">
        <f>+Q35*Assumptions!$G$84</f>
        <v>415.63951672727279</v>
      </c>
      <c r="R34" s="42">
        <f>+R35*Assumptions!$G$84</f>
        <v>415.63951672727279</v>
      </c>
      <c r="S34" s="42">
        <f>+S35*Assumptions!$G$84</f>
        <v>415.63951672727279</v>
      </c>
      <c r="T34" s="42">
        <f>+T35*Assumptions!$G$84</f>
        <v>415.63951672727279</v>
      </c>
      <c r="U34" s="42">
        <f>+U35*Assumptions!$G$84</f>
        <v>415.63951672727279</v>
      </c>
      <c r="V34" s="42">
        <f>+V35*Assumptions!$G$84</f>
        <v>415.63951672727279</v>
      </c>
      <c r="W34" s="42">
        <f>+W35*Assumptions!$G$84</f>
        <v>415.63951672727279</v>
      </c>
      <c r="X34" s="42">
        <f>+X35*Assumptions!$G$84</f>
        <v>415.63951672727279</v>
      </c>
      <c r="Y34" s="42">
        <f>+Y35*Assumptions!$G$84</f>
        <v>415.63951672727279</v>
      </c>
      <c r="Z34" s="42">
        <f>+Z35*Assumptions!$G$84</f>
        <v>415.63951672727279</v>
      </c>
    </row>
    <row r="35" spans="2:26" x14ac:dyDescent="0.35">
      <c r="B35" s="33" t="s">
        <v>306</v>
      </c>
      <c r="C35" s="33"/>
      <c r="D35" s="42"/>
      <c r="E35" s="42"/>
      <c r="F35" s="108">
        <f>+F32/SUM($F31:$Z31)</f>
        <v>0</v>
      </c>
      <c r="G35" s="108">
        <f t="shared" ref="G35:Z35" si="50">+G32/SUM($F31:$Z31)</f>
        <v>0</v>
      </c>
      <c r="H35" s="108">
        <f t="shared" si="50"/>
        <v>0</v>
      </c>
      <c r="I35" s="108">
        <f t="shared" si="50"/>
        <v>0.5</v>
      </c>
      <c r="J35" s="108">
        <f t="shared" si="50"/>
        <v>1</v>
      </c>
      <c r="K35" s="108">
        <f t="shared" si="50"/>
        <v>1</v>
      </c>
      <c r="L35" s="108">
        <f t="shared" si="50"/>
        <v>1</v>
      </c>
      <c r="M35" s="108">
        <f t="shared" si="50"/>
        <v>1</v>
      </c>
      <c r="N35" s="108">
        <f t="shared" si="50"/>
        <v>1</v>
      </c>
      <c r="O35" s="108">
        <f t="shared" si="50"/>
        <v>1</v>
      </c>
      <c r="P35" s="108">
        <f t="shared" si="50"/>
        <v>1</v>
      </c>
      <c r="Q35" s="108">
        <f t="shared" si="50"/>
        <v>1</v>
      </c>
      <c r="R35" s="108">
        <f t="shared" si="50"/>
        <v>1</v>
      </c>
      <c r="S35" s="108">
        <f t="shared" si="50"/>
        <v>1</v>
      </c>
      <c r="T35" s="108">
        <f t="shared" si="50"/>
        <v>1</v>
      </c>
      <c r="U35" s="108">
        <f t="shared" si="50"/>
        <v>1</v>
      </c>
      <c r="V35" s="108">
        <f t="shared" si="50"/>
        <v>1</v>
      </c>
      <c r="W35" s="108">
        <f t="shared" si="50"/>
        <v>1</v>
      </c>
      <c r="X35" s="108">
        <f t="shared" si="50"/>
        <v>1</v>
      </c>
      <c r="Y35" s="108">
        <f t="shared" si="50"/>
        <v>1</v>
      </c>
      <c r="Z35" s="108">
        <f t="shared" si="50"/>
        <v>1</v>
      </c>
    </row>
    <row r="36" spans="2:26" x14ac:dyDescent="0.35">
      <c r="B36" s="33"/>
      <c r="C36" s="33"/>
      <c r="D36" s="40"/>
      <c r="E36" s="40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2:26" x14ac:dyDescent="0.35">
      <c r="B37" s="33" t="s">
        <v>254</v>
      </c>
      <c r="C37" s="33"/>
      <c r="D37" s="42"/>
      <c r="E37" s="42"/>
      <c r="F37" s="108">
        <v>1</v>
      </c>
      <c r="G37" s="108">
        <f>+F37*(1+Assumptions!$O$64)</f>
        <v>1.03</v>
      </c>
      <c r="H37" s="108">
        <f>+G37*(1+Assumptions!$O$64)</f>
        <v>1.0609</v>
      </c>
      <c r="I37" s="108">
        <f>+H37*(1+Assumptions!$O$64)</f>
        <v>1.092727</v>
      </c>
      <c r="J37" s="108">
        <f>+I37*(1+Assumptions!$O$64)</f>
        <v>1.1255088100000001</v>
      </c>
      <c r="K37" s="108">
        <f>+J37*(1+Assumptions!$O$64)</f>
        <v>1.1592740743000001</v>
      </c>
      <c r="L37" s="108">
        <f>+K37*(1+Assumptions!$O$64)</f>
        <v>1.1940522965290001</v>
      </c>
      <c r="M37" s="108">
        <f>+L37*(1+Assumptions!$O$64)</f>
        <v>1.2298738654248702</v>
      </c>
      <c r="N37" s="108">
        <f>+M37*(1+Assumptions!$O$64)</f>
        <v>1.2667700813876164</v>
      </c>
      <c r="O37" s="108">
        <f>+N37*(1+Assumptions!$O$64)</f>
        <v>1.3047731838292449</v>
      </c>
      <c r="P37" s="108">
        <f>+O37*(1+Assumptions!$O$64)</f>
        <v>1.3439163793441222</v>
      </c>
      <c r="Q37" s="108">
        <f>+P37*(1+Assumptions!$O$64)</f>
        <v>1.3842338707244459</v>
      </c>
      <c r="R37" s="108">
        <f>+Q37*(1+Assumptions!$O$64)</f>
        <v>1.4257608868461793</v>
      </c>
      <c r="S37" s="108">
        <f>+R37*(1+Assumptions!$O$64)</f>
        <v>1.4685337134515648</v>
      </c>
      <c r="T37" s="108">
        <f>+S37*(1+Assumptions!$O$64)</f>
        <v>1.5125897248551119</v>
      </c>
      <c r="U37" s="108">
        <f>+T37*(1+Assumptions!$O$64)</f>
        <v>1.5579674166007653</v>
      </c>
      <c r="V37" s="108">
        <f>+U37*(1+Assumptions!$O$64)</f>
        <v>1.6047064390987884</v>
      </c>
      <c r="W37" s="108">
        <f>+V37*(1+Assumptions!$O$64)</f>
        <v>1.652847632271752</v>
      </c>
      <c r="X37" s="108">
        <f>+W37*(1+Assumptions!$O$64)</f>
        <v>1.7024330612399046</v>
      </c>
      <c r="Y37" s="108">
        <f>+X37*(1+Assumptions!$O$64)</f>
        <v>1.7535060530771018</v>
      </c>
      <c r="Z37" s="108">
        <f>+Y37*(1+Assumptions!$O$64)</f>
        <v>1.806111234669415</v>
      </c>
    </row>
    <row r="38" spans="2:26" x14ac:dyDescent="0.35">
      <c r="B38" s="33" t="s">
        <v>255</v>
      </c>
      <c r="C38" s="33"/>
      <c r="D38" s="42"/>
      <c r="E38" s="42"/>
      <c r="F38" s="108">
        <v>1</v>
      </c>
      <c r="G38" s="108">
        <f>+F38*(1+Assumptions!$O$77)</f>
        <v>1.03</v>
      </c>
      <c r="H38" s="108">
        <f>+G38*(1+Assumptions!$O$77)</f>
        <v>1.0609</v>
      </c>
      <c r="I38" s="108">
        <f>+H38*(1+Assumptions!$O$77)</f>
        <v>1.092727</v>
      </c>
      <c r="J38" s="108">
        <f>+I38*(1+Assumptions!$O$77)</f>
        <v>1.1255088100000001</v>
      </c>
      <c r="K38" s="108">
        <f>+J38*(1+Assumptions!$O$77)</f>
        <v>1.1592740743000001</v>
      </c>
      <c r="L38" s="108">
        <f>+K38*(1+Assumptions!$O$77)</f>
        <v>1.1940522965290001</v>
      </c>
      <c r="M38" s="108">
        <f>+L38*(1+Assumptions!$O$77)</f>
        <v>1.2298738654248702</v>
      </c>
      <c r="N38" s="108">
        <f>+M38*(1+Assumptions!$O$77)</f>
        <v>1.2667700813876164</v>
      </c>
      <c r="O38" s="108">
        <f>+N38*(1+Assumptions!$O$77)</f>
        <v>1.3047731838292449</v>
      </c>
      <c r="P38" s="108">
        <f>+O38*(1+Assumptions!$O$77)</f>
        <v>1.3439163793441222</v>
      </c>
      <c r="Q38" s="108">
        <f>+P38*(1+Assumptions!$O$77)</f>
        <v>1.3842338707244459</v>
      </c>
      <c r="R38" s="108">
        <f>+Q38*(1+Assumptions!$O$77)</f>
        <v>1.4257608868461793</v>
      </c>
      <c r="S38" s="108">
        <f>+R38*(1+Assumptions!$O$77)</f>
        <v>1.4685337134515648</v>
      </c>
      <c r="T38" s="108">
        <f>+S38*(1+Assumptions!$O$77)</f>
        <v>1.5125897248551119</v>
      </c>
      <c r="U38" s="108">
        <f>+T38*(1+Assumptions!$O$77)</f>
        <v>1.5579674166007653</v>
      </c>
      <c r="V38" s="108">
        <f>+U38*(1+Assumptions!$O$77)</f>
        <v>1.6047064390987884</v>
      </c>
      <c r="W38" s="108">
        <f>+V38*(1+Assumptions!$O$77)</f>
        <v>1.652847632271752</v>
      </c>
      <c r="X38" s="108">
        <f>+W38*(1+Assumptions!$O$77)</f>
        <v>1.7024330612399046</v>
      </c>
      <c r="Y38" s="108">
        <f>+X38*(1+Assumptions!$O$77)</f>
        <v>1.7535060530771018</v>
      </c>
      <c r="Z38" s="108">
        <f>+Y38*(1+Assumptions!$O$77)</f>
        <v>1.806111234669415</v>
      </c>
    </row>
    <row r="39" spans="2:26" x14ac:dyDescent="0.35">
      <c r="B39" s="33"/>
      <c r="C39" s="33"/>
      <c r="D39" s="40"/>
      <c r="E39" s="40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2:26" x14ac:dyDescent="0.35">
      <c r="B40" s="33" t="s">
        <v>246</v>
      </c>
      <c r="C40" s="33"/>
      <c r="D40" s="40"/>
      <c r="E40" s="40"/>
      <c r="F40" s="34">
        <f>+F35*Assumptions!$G$82*F37</f>
        <v>0</v>
      </c>
      <c r="G40" s="34">
        <f>+G35*Assumptions!$G$82*G37</f>
        <v>0</v>
      </c>
      <c r="H40" s="34">
        <f>+H35*Assumptions!$G$82*H37</f>
        <v>0</v>
      </c>
      <c r="I40" s="34">
        <f>+I35*Assumptions!$G$82*I37</f>
        <v>4979926.2830157522</v>
      </c>
      <c r="J40" s="34">
        <f>+J35*Assumptions!$G$82*J37</f>
        <v>10258648.143012451</v>
      </c>
      <c r="K40" s="34">
        <f>+K35*Assumptions!$G$82*K37</f>
        <v>10566407.587302824</v>
      </c>
      <c r="L40" s="34">
        <f>+L35*Assumptions!$G$82*L37</f>
        <v>10883399.81492191</v>
      </c>
      <c r="M40" s="34">
        <f>+M35*Assumptions!$G$82*M37</f>
        <v>11209901.809369568</v>
      </c>
      <c r="N40" s="34">
        <f>+N35*Assumptions!$G$82*N37</f>
        <v>11546198.863650655</v>
      </c>
      <c r="O40" s="34">
        <f>+O35*Assumptions!$G$82*O37</f>
        <v>11892584.829560176</v>
      </c>
      <c r="P40" s="34">
        <f>+P35*Assumptions!$G$82*P37</f>
        <v>12249362.374446981</v>
      </c>
      <c r="Q40" s="34">
        <f>+Q35*Assumptions!$G$82*Q37</f>
        <v>12616843.24568039</v>
      </c>
      <c r="R40" s="34">
        <f>+R35*Assumptions!$G$82*R37</f>
        <v>12995348.543050801</v>
      </c>
      <c r="S40" s="34">
        <f>+S35*Assumptions!$G$82*S37</f>
        <v>13385208.999342326</v>
      </c>
      <c r="T40" s="34">
        <f>+T35*Assumptions!$G$82*T37</f>
        <v>13786765.269322598</v>
      </c>
      <c r="U40" s="34">
        <f>+U35*Assumptions!$G$82*U37</f>
        <v>14200368.227402275</v>
      </c>
      <c r="V40" s="34">
        <f>+V35*Assumptions!$G$82*V37</f>
        <v>14626379.274224347</v>
      </c>
      <c r="W40" s="34">
        <f>+W35*Assumptions!$G$82*W37</f>
        <v>15065170.652451076</v>
      </c>
      <c r="X40" s="34">
        <f>+X35*Assumptions!$G$82*X37</f>
        <v>15517125.772024607</v>
      </c>
      <c r="Y40" s="34">
        <f>+Y35*Assumptions!$G$82*Y37</f>
        <v>15982639.545185348</v>
      </c>
      <c r="Z40" s="34">
        <f>+Z35*Assumptions!$G$82*Z37</f>
        <v>16462118.731540909</v>
      </c>
    </row>
    <row r="41" spans="2:26" x14ac:dyDescent="0.35">
      <c r="B41" s="33" t="s">
        <v>247</v>
      </c>
      <c r="C41" s="33"/>
      <c r="D41" s="40"/>
      <c r="E41" s="40"/>
      <c r="F41" s="42">
        <f>-F40*Assumptions!$O$55</f>
        <v>0</v>
      </c>
      <c r="G41" s="42">
        <f>-G40*Assumptions!$O$55</f>
        <v>0</v>
      </c>
      <c r="H41" s="42">
        <f>-H40*Assumptions!$O$55</f>
        <v>0</v>
      </c>
      <c r="I41" s="42">
        <f>-I40*Assumptions!$O$55</f>
        <v>-248996.31415078763</v>
      </c>
      <c r="J41" s="42">
        <f>-J40*Assumptions!$O$55</f>
        <v>-512932.40715062257</v>
      </c>
      <c r="K41" s="42">
        <f>-K40*Assumptions!$O$55</f>
        <v>-528320.37936514127</v>
      </c>
      <c r="L41" s="42">
        <f>-L40*Assumptions!$O$55</f>
        <v>-544169.99074609554</v>
      </c>
      <c r="M41" s="42">
        <f>-M40*Assumptions!$O$55</f>
        <v>-560495.09046847839</v>
      </c>
      <c r="N41" s="42">
        <f>-N40*Assumptions!$O$55</f>
        <v>-577309.94318253279</v>
      </c>
      <c r="O41" s="42">
        <f>-O40*Assumptions!$O$55</f>
        <v>-594629.2414780088</v>
      </c>
      <c r="P41" s="42">
        <f>-P40*Assumptions!$O$55</f>
        <v>-612468.11872234906</v>
      </c>
      <c r="Q41" s="42">
        <f>-Q40*Assumptions!$O$55</f>
        <v>-630842.16228401952</v>
      </c>
      <c r="R41" s="42">
        <f>-R40*Assumptions!$O$55</f>
        <v>-649767.42715254007</v>
      </c>
      <c r="S41" s="42">
        <f>-S40*Assumptions!$O$55</f>
        <v>-669260.44996711635</v>
      </c>
      <c r="T41" s="42">
        <f>-T40*Assumptions!$O$55</f>
        <v>-689338.26346613001</v>
      </c>
      <c r="U41" s="42">
        <f>-U40*Assumptions!$O$55</f>
        <v>-710018.41137011384</v>
      </c>
      <c r="V41" s="42">
        <f>-V40*Assumptions!$O$55</f>
        <v>-731318.9637112174</v>
      </c>
      <c r="W41" s="42">
        <f>-W40*Assumptions!$O$55</f>
        <v>-753258.53262255387</v>
      </c>
      <c r="X41" s="42">
        <f>-X40*Assumptions!$O$55</f>
        <v>-775856.28860123036</v>
      </c>
      <c r="Y41" s="42">
        <f>-Y40*Assumptions!$O$55</f>
        <v>-799131.97725926747</v>
      </c>
      <c r="Z41" s="42">
        <f>-Z40*Assumptions!$O$55</f>
        <v>-823105.93657704548</v>
      </c>
    </row>
    <row r="42" spans="2:26" x14ac:dyDescent="0.35">
      <c r="B42" s="33" t="s">
        <v>350</v>
      </c>
      <c r="C42" s="33"/>
      <c r="D42" s="40"/>
      <c r="E42" s="40"/>
      <c r="F42" s="151">
        <f>+F34*Assumptions!$G$90*(1-Assumptions!$O$55)*12</f>
        <v>0</v>
      </c>
      <c r="G42" s="151">
        <f>+G34*Assumptions!$G$90*(1-Assumptions!$O$55)*12</f>
        <v>0</v>
      </c>
      <c r="H42" s="151">
        <f>+H34*Assumptions!$G$90*(1-Assumptions!$O$55)*12</f>
        <v>0</v>
      </c>
      <c r="I42" s="151">
        <f>+I34*Assumptions!$G$90*(1-Assumptions!$O$55)*12</f>
        <v>130302.98849400002</v>
      </c>
      <c r="J42" s="151">
        <f>+J34*Assumptions!$G$90*(1-Assumptions!$O$55)*12</f>
        <v>260605.97698800004</v>
      </c>
      <c r="K42" s="151">
        <f>+K34*Assumptions!$G$90*(1-Assumptions!$O$55)*12</f>
        <v>260605.97698800004</v>
      </c>
      <c r="L42" s="151">
        <f>+L34*Assumptions!$G$90*(1-Assumptions!$O$55)*12</f>
        <v>260605.97698800004</v>
      </c>
      <c r="M42" s="151">
        <f>+M34*Assumptions!$G$90*(1-Assumptions!$O$55)*12</f>
        <v>260605.97698800004</v>
      </c>
      <c r="N42" s="151">
        <f>+N34*Assumptions!$G$90*(1-Assumptions!$O$55)*12</f>
        <v>260605.97698800004</v>
      </c>
      <c r="O42" s="151">
        <f>+O34*Assumptions!$G$90*(1-Assumptions!$O$55)*12</f>
        <v>260605.97698800004</v>
      </c>
      <c r="P42" s="151">
        <f>+P34*Assumptions!$G$90*(1-Assumptions!$O$55)*12</f>
        <v>260605.97698800004</v>
      </c>
      <c r="Q42" s="151">
        <f>+Q34*Assumptions!$G$90*(1-Assumptions!$O$55)*12</f>
        <v>260605.97698800004</v>
      </c>
      <c r="R42" s="151">
        <f>+R34*Assumptions!$G$90*(1-Assumptions!$O$55)*12</f>
        <v>260605.97698800004</v>
      </c>
      <c r="S42" s="151">
        <f>+S34*Assumptions!$G$90*(1-Assumptions!$O$55)*12</f>
        <v>260605.97698800004</v>
      </c>
      <c r="T42" s="151">
        <f>+T34*Assumptions!$G$90*(1-Assumptions!$O$55)*12</f>
        <v>260605.97698800004</v>
      </c>
      <c r="U42" s="151">
        <f>+U34*Assumptions!$G$90*(1-Assumptions!$O$55)*12</f>
        <v>260605.97698800004</v>
      </c>
      <c r="V42" s="151">
        <f>+V34*Assumptions!$G$90*(1-Assumptions!$O$55)*12</f>
        <v>260605.97698800004</v>
      </c>
      <c r="W42" s="151">
        <f>+W34*Assumptions!$G$90*(1-Assumptions!$O$55)*12</f>
        <v>260605.97698800004</v>
      </c>
      <c r="X42" s="151">
        <f>+X34*Assumptions!$G$90*(1-Assumptions!$O$55)*12</f>
        <v>260605.97698800004</v>
      </c>
      <c r="Y42" s="151">
        <f>+Y34*Assumptions!$G$90*(1-Assumptions!$O$55)*12</f>
        <v>260605.97698800004</v>
      </c>
      <c r="Z42" s="151">
        <f>+Z34*Assumptions!$G$90*(1-Assumptions!$O$55)*12</f>
        <v>260605.97698800004</v>
      </c>
    </row>
    <row r="43" spans="2:26" x14ac:dyDescent="0.35">
      <c r="B43" s="137" t="s">
        <v>256</v>
      </c>
      <c r="C43" s="137"/>
      <c r="D43" s="137"/>
      <c r="E43" s="137"/>
      <c r="F43" s="129">
        <f t="shared" ref="F43:Z43" si="51">+SUM(F40:F42)</f>
        <v>0</v>
      </c>
      <c r="G43" s="129">
        <f t="shared" si="51"/>
        <v>0</v>
      </c>
      <c r="H43" s="129">
        <f t="shared" si="51"/>
        <v>0</v>
      </c>
      <c r="I43" s="129">
        <f t="shared" si="51"/>
        <v>4861232.9573589647</v>
      </c>
      <c r="J43" s="129">
        <f t="shared" si="51"/>
        <v>10006321.712849829</v>
      </c>
      <c r="K43" s="129">
        <f t="shared" si="51"/>
        <v>10298693.184925685</v>
      </c>
      <c r="L43" s="129">
        <f t="shared" si="51"/>
        <v>10599835.801163815</v>
      </c>
      <c r="M43" s="129">
        <f t="shared" si="51"/>
        <v>10910012.695889091</v>
      </c>
      <c r="N43" s="129">
        <f t="shared" si="51"/>
        <v>11229494.897456123</v>
      </c>
      <c r="O43" s="129">
        <f t="shared" si="51"/>
        <v>11558561.565070167</v>
      </c>
      <c r="P43" s="129">
        <f t="shared" si="51"/>
        <v>11897500.232712632</v>
      </c>
      <c r="Q43" s="129">
        <f t="shared" si="51"/>
        <v>12246607.06038437</v>
      </c>
      <c r="R43" s="129">
        <f t="shared" si="51"/>
        <v>12606187.092886262</v>
      </c>
      <c r="S43" s="129">
        <f t="shared" si="51"/>
        <v>12976554.526363211</v>
      </c>
      <c r="T43" s="129">
        <f t="shared" si="51"/>
        <v>13358032.98284447</v>
      </c>
      <c r="U43" s="129">
        <f t="shared" si="51"/>
        <v>13750955.793020163</v>
      </c>
      <c r="V43" s="129">
        <f t="shared" si="51"/>
        <v>14155666.28750113</v>
      </c>
      <c r="W43" s="129">
        <f t="shared" si="51"/>
        <v>14572518.096816523</v>
      </c>
      <c r="X43" s="129">
        <f t="shared" si="51"/>
        <v>15001875.460411377</v>
      </c>
      <c r="Y43" s="129">
        <f t="shared" si="51"/>
        <v>15444113.544914082</v>
      </c>
      <c r="Z43" s="129">
        <f t="shared" si="51"/>
        <v>15899618.771951864</v>
      </c>
    </row>
    <row r="45" spans="2:26" x14ac:dyDescent="0.35">
      <c r="B45" s="33" t="s">
        <v>395</v>
      </c>
      <c r="F45" s="34">
        <f>+F34*Assumptions!$O$96*F38</f>
        <v>0</v>
      </c>
      <c r="G45" s="34">
        <f>+G34*Assumptions!$O$96*G38</f>
        <v>0</v>
      </c>
      <c r="H45" s="34">
        <f>+H34*Assumptions!$O$96*H38</f>
        <v>0</v>
      </c>
      <c r="I45" s="34">
        <f>+I34*Assumptions!$O$96*I38</f>
        <v>1417588.2458745427</v>
      </c>
      <c r="J45" s="34">
        <f>+J34*Assumptions!$O$96*J38</f>
        <v>2920231.7865015585</v>
      </c>
      <c r="K45" s="34">
        <f>+K34*Assumptions!$O$96*K38</f>
        <v>3007838.7400966049</v>
      </c>
      <c r="L45" s="34">
        <f>+L34*Assumptions!$O$96*L38</f>
        <v>3098073.9022995033</v>
      </c>
      <c r="M45" s="34">
        <f>+M34*Assumptions!$O$96*M38</f>
        <v>3191016.1193684884</v>
      </c>
      <c r="N45" s="34">
        <f>+N34*Assumptions!$O$96*N38</f>
        <v>3286746.6029495434</v>
      </c>
      <c r="O45" s="34">
        <f>+O34*Assumptions!$O$96*O38</f>
        <v>3385349.0010380298</v>
      </c>
      <c r="P45" s="34">
        <f>+P34*Assumptions!$O$96*P38</f>
        <v>3486909.4710691706</v>
      </c>
      <c r="Q45" s="34">
        <f>+Q34*Assumptions!$O$96*Q38</f>
        <v>3591516.7552012457</v>
      </c>
      <c r="R45" s="34">
        <f>+R34*Assumptions!$O$96*R38</f>
        <v>3699262.2578572831</v>
      </c>
      <c r="S45" s="34">
        <f>+S34*Assumptions!$O$96*S38</f>
        <v>3810240.125593002</v>
      </c>
      <c r="T45" s="34">
        <f>+T34*Assumptions!$O$96*T38</f>
        <v>3924547.3293607924</v>
      </c>
      <c r="U45" s="34">
        <f>+U34*Assumptions!$O$96*U38</f>
        <v>4042283.7492416161</v>
      </c>
      <c r="V45" s="34">
        <f>+V34*Assumptions!$O$96*V38</f>
        <v>4163552.261718865</v>
      </c>
      <c r="W45" s="34">
        <f>+W34*Assumptions!$O$96*W38</f>
        <v>4288458.8295704313</v>
      </c>
      <c r="X45" s="34">
        <f>+X34*Assumptions!$O$96*X38</f>
        <v>4417112.5944575435</v>
      </c>
      <c r="Y45" s="34">
        <f>+Y34*Assumptions!$O$96*Y38</f>
        <v>4549625.9722912703</v>
      </c>
      <c r="Z45" s="34">
        <f>+Z34*Assumptions!$O$96*Z38</f>
        <v>4686114.7514600093</v>
      </c>
    </row>
    <row r="46" spans="2:26" x14ac:dyDescent="0.35">
      <c r="B46" s="33" t="s">
        <v>331</v>
      </c>
      <c r="F46" s="151">
        <f ca="1">+IFERROR(INDEX('Taxes and TIF'!$AC$11:$AC$45,MATCH('Phase II Pro Forma'!F$7,'Taxes and TIF'!$R$11:$R$45,0)),0)*'Loan Sizing'!$K$16*F35</f>
        <v>0</v>
      </c>
      <c r="G46" s="151">
        <f ca="1">+IFERROR(INDEX('Taxes and TIF'!$AC$11:$AC$45,MATCH('Phase II Pro Forma'!G$7,'Taxes and TIF'!$R$11:$R$45,0)),0)*'Loan Sizing'!$K$16*G35</f>
        <v>0</v>
      </c>
      <c r="H46" s="151">
        <f ca="1">+IFERROR(INDEX('Taxes and TIF'!$AC$11:$AC$45,MATCH('Phase II Pro Forma'!H$7,'Taxes and TIF'!$R$11:$R$45,0)),0)*'Loan Sizing'!$K$16*H35</f>
        <v>0</v>
      </c>
      <c r="I46" s="151">
        <f ca="1">+IFERROR(INDEX('Taxes and TIF'!$AC$11:$AC$45,MATCH('Phase II Pro Forma'!I$7,'Taxes and TIF'!$R$11:$R$45,0)),0)*'Loan Sizing'!$K$16*I35</f>
        <v>951243.22274482809</v>
      </c>
      <c r="J46" s="151">
        <f ca="1">+IFERROR(INDEX('Taxes and TIF'!$AC$11:$AC$45,MATCH('Phase II Pro Forma'!J$7,'Taxes and TIF'!$R$11:$R$45,0)),0)*'Loan Sizing'!$K$16*J35</f>
        <v>1940536.174399449</v>
      </c>
      <c r="K46" s="151">
        <f ca="1">+IFERROR(INDEX('Taxes and TIF'!$AC$11:$AC$45,MATCH('Phase II Pro Forma'!K$7,'Taxes and TIF'!$R$11:$R$45,0)),0)*'Loan Sizing'!$K$16*K35</f>
        <v>1940536.174399449</v>
      </c>
      <c r="L46" s="151">
        <f ca="1">+IFERROR(INDEX('Taxes and TIF'!$AC$11:$AC$45,MATCH('Phase II Pro Forma'!L$7,'Taxes and TIF'!$R$11:$R$45,0)),0)*'Loan Sizing'!$K$16*L35</f>
        <v>1940536.174399449</v>
      </c>
      <c r="M46" s="151">
        <f ca="1">+IFERROR(INDEX('Taxes and TIF'!$AC$11:$AC$45,MATCH('Phase II Pro Forma'!M$7,'Taxes and TIF'!$R$11:$R$45,0)),0)*'Loan Sizing'!$K$16*M35</f>
        <v>1979346.8978874383</v>
      </c>
      <c r="N46" s="151">
        <f ca="1">+IFERROR(INDEX('Taxes and TIF'!$AC$11:$AC$45,MATCH('Phase II Pro Forma'!N$7,'Taxes and TIF'!$R$11:$R$45,0)),0)*'Loan Sizing'!$K$16*N35</f>
        <v>1979346.8978874383</v>
      </c>
      <c r="O46" s="151">
        <f ca="1">+IFERROR(INDEX('Taxes and TIF'!$AC$11:$AC$45,MATCH('Phase II Pro Forma'!O$7,'Taxes and TIF'!$R$11:$R$45,0)),0)*'Loan Sizing'!$K$16*O35</f>
        <v>1979346.8978874383</v>
      </c>
      <c r="P46" s="151">
        <f ca="1">+IFERROR(INDEX('Taxes and TIF'!$AC$11:$AC$45,MATCH('Phase II Pro Forma'!P$7,'Taxes and TIF'!$R$11:$R$45,0)),0)*'Loan Sizing'!$K$16*P35</f>
        <v>2018933.8358451871</v>
      </c>
      <c r="Q46" s="151">
        <f ca="1">+IFERROR(INDEX('Taxes and TIF'!$AC$11:$AC$45,MATCH('Phase II Pro Forma'!Q$7,'Taxes and TIF'!$R$11:$R$45,0)),0)*'Loan Sizing'!$K$16*Q35</f>
        <v>2018933.8358451871</v>
      </c>
      <c r="R46" s="151">
        <f ca="1">+IFERROR(INDEX('Taxes and TIF'!$AC$11:$AC$45,MATCH('Phase II Pro Forma'!R$7,'Taxes and TIF'!$R$11:$R$45,0)),0)*'Loan Sizing'!$K$16*R35</f>
        <v>2018933.8358451871</v>
      </c>
      <c r="S46" s="151">
        <f ca="1">+IFERROR(INDEX('Taxes and TIF'!$AC$11:$AC$45,MATCH('Phase II Pro Forma'!S$7,'Taxes and TIF'!$R$11:$R$45,0)),0)*'Loan Sizing'!$K$16*S35</f>
        <v>2059312.5125620908</v>
      </c>
      <c r="T46" s="151">
        <f ca="1">+IFERROR(INDEX('Taxes and TIF'!$AC$11:$AC$45,MATCH('Phase II Pro Forma'!T$7,'Taxes and TIF'!$R$11:$R$45,0)),0)*'Loan Sizing'!$K$16*T35</f>
        <v>2059312.5125620908</v>
      </c>
      <c r="U46" s="151">
        <f ca="1">+IFERROR(INDEX('Taxes and TIF'!$AC$11:$AC$45,MATCH('Phase II Pro Forma'!U$7,'Taxes and TIF'!$R$11:$R$45,0)),0)*'Loan Sizing'!$K$16*U35</f>
        <v>2059312.5125620908</v>
      </c>
      <c r="V46" s="151">
        <f ca="1">+IFERROR(INDEX('Taxes and TIF'!$AC$11:$AC$45,MATCH('Phase II Pro Forma'!V$7,'Taxes and TIF'!$R$11:$R$45,0)),0)*'Loan Sizing'!$K$16*V35</f>
        <v>2100498.762813333</v>
      </c>
      <c r="W46" s="151">
        <f ca="1">+IFERROR(INDEX('Taxes and TIF'!$AC$11:$AC$45,MATCH('Phase II Pro Forma'!W$7,'Taxes and TIF'!$R$11:$R$45,0)),0)*'Loan Sizing'!$K$16*W35</f>
        <v>2100498.762813333</v>
      </c>
      <c r="X46" s="151">
        <f ca="1">+IFERROR(INDEX('Taxes and TIF'!$AC$11:$AC$45,MATCH('Phase II Pro Forma'!X$7,'Taxes and TIF'!$R$11:$R$45,0)),0)*'Loan Sizing'!$K$16*X35</f>
        <v>2100498.762813333</v>
      </c>
      <c r="Y46" s="151">
        <f ca="1">+IFERROR(INDEX('Taxes and TIF'!$AC$11:$AC$45,MATCH('Phase II Pro Forma'!Y$7,'Taxes and TIF'!$R$11:$R$45,0)),0)*'Loan Sizing'!$K$16*Y35</f>
        <v>2142508.7380695995</v>
      </c>
      <c r="Z46" s="151">
        <f ca="1">+IFERROR(INDEX('Taxes and TIF'!$AC$11:$AC$45,MATCH('Phase II Pro Forma'!Z$7,'Taxes and TIF'!$R$11:$R$45,0)),0)*'Loan Sizing'!$K$16*Z35</f>
        <v>2142508.7380695995</v>
      </c>
    </row>
    <row r="47" spans="2:26" x14ac:dyDescent="0.35">
      <c r="B47" s="137" t="s">
        <v>252</v>
      </c>
      <c r="C47" s="137"/>
      <c r="D47" s="137"/>
      <c r="E47" s="137"/>
      <c r="F47" s="129">
        <f ca="1">+SUM(F45:F46)</f>
        <v>0</v>
      </c>
      <c r="G47" s="129">
        <f t="shared" ref="G47" ca="1" si="52">+SUM(G45:G46)</f>
        <v>0</v>
      </c>
      <c r="H47" s="129">
        <f t="shared" ref="H47:Z47" ca="1" si="53">+SUM(H45:H46)</f>
        <v>0</v>
      </c>
      <c r="I47" s="129">
        <f t="shared" ca="1" si="53"/>
        <v>2368831.4686193708</v>
      </c>
      <c r="J47" s="129">
        <f t="shared" ca="1" si="53"/>
        <v>4860767.9609010071</v>
      </c>
      <c r="K47" s="129">
        <f t="shared" ca="1" si="53"/>
        <v>4948374.9144960539</v>
      </c>
      <c r="L47" s="129">
        <f t="shared" ca="1" si="53"/>
        <v>5038610.0766989524</v>
      </c>
      <c r="M47" s="129">
        <f t="shared" ca="1" si="53"/>
        <v>5170363.0172559265</v>
      </c>
      <c r="N47" s="129">
        <f t="shared" ca="1" si="53"/>
        <v>5266093.5008369815</v>
      </c>
      <c r="O47" s="129">
        <f t="shared" ca="1" si="53"/>
        <v>5364695.8989254683</v>
      </c>
      <c r="P47" s="129">
        <f t="shared" ca="1" si="53"/>
        <v>5505843.3069143575</v>
      </c>
      <c r="Q47" s="129">
        <f t="shared" ca="1" si="53"/>
        <v>5610450.591046433</v>
      </c>
      <c r="R47" s="129">
        <f t="shared" ca="1" si="53"/>
        <v>5718196.09370247</v>
      </c>
      <c r="S47" s="129">
        <f t="shared" ca="1" si="53"/>
        <v>5869552.6381550925</v>
      </c>
      <c r="T47" s="129">
        <f t="shared" ca="1" si="53"/>
        <v>5983859.8419228829</v>
      </c>
      <c r="U47" s="129">
        <f t="shared" ca="1" si="53"/>
        <v>6101596.2618037071</v>
      </c>
      <c r="V47" s="129">
        <f t="shared" ca="1" si="53"/>
        <v>6264051.024532198</v>
      </c>
      <c r="W47" s="129">
        <f t="shared" ca="1" si="53"/>
        <v>6388957.5923837647</v>
      </c>
      <c r="X47" s="129">
        <f t="shared" ca="1" si="53"/>
        <v>6517611.3572708759</v>
      </c>
      <c r="Y47" s="129">
        <f t="shared" ca="1" si="53"/>
        <v>6692134.7103608698</v>
      </c>
      <c r="Z47" s="129">
        <f t="shared" ca="1" si="53"/>
        <v>6828623.4895296087</v>
      </c>
    </row>
    <row r="48" spans="2:26" x14ac:dyDescent="0.35">
      <c r="B48" s="33"/>
    </row>
    <row r="49" spans="1:26" x14ac:dyDescent="0.35">
      <c r="A49" s="108"/>
      <c r="B49" s="138" t="s">
        <v>251</v>
      </c>
      <c r="C49" s="138"/>
      <c r="D49" s="138"/>
      <c r="E49" s="138"/>
      <c r="F49" s="139">
        <f ca="1">+F43-F47</f>
        <v>0</v>
      </c>
      <c r="G49" s="139">
        <f t="shared" ref="G49:Z49" ca="1" si="54">+G43-G47</f>
        <v>0</v>
      </c>
      <c r="H49" s="139">
        <f t="shared" ca="1" si="54"/>
        <v>0</v>
      </c>
      <c r="I49" s="139">
        <f t="shared" ca="1" si="54"/>
        <v>2492401.4887395939</v>
      </c>
      <c r="J49" s="139">
        <f t="shared" ca="1" si="54"/>
        <v>5145553.7519488223</v>
      </c>
      <c r="K49" s="139">
        <f t="shared" ca="1" si="54"/>
        <v>5350318.2704296308</v>
      </c>
      <c r="L49" s="139">
        <f t="shared" ca="1" si="54"/>
        <v>5561225.7244648626</v>
      </c>
      <c r="M49" s="139">
        <f t="shared" ca="1" si="54"/>
        <v>5739649.6786331646</v>
      </c>
      <c r="N49" s="139">
        <f t="shared" ca="1" si="54"/>
        <v>5963401.3966191411</v>
      </c>
      <c r="O49" s="139">
        <f t="shared" ca="1" si="54"/>
        <v>6193865.6661446989</v>
      </c>
      <c r="P49" s="139">
        <f t="shared" ca="1" si="54"/>
        <v>6391656.9257982746</v>
      </c>
      <c r="Q49" s="139">
        <f t="shared" ca="1" si="54"/>
        <v>6636156.4693379374</v>
      </c>
      <c r="R49" s="139">
        <f t="shared" ca="1" si="54"/>
        <v>6887990.9991837917</v>
      </c>
      <c r="S49" s="139">
        <f t="shared" ca="1" si="54"/>
        <v>7107001.8882081183</v>
      </c>
      <c r="T49" s="139">
        <f t="shared" ca="1" si="54"/>
        <v>7374173.1409215871</v>
      </c>
      <c r="U49" s="139">
        <f t="shared" ca="1" si="54"/>
        <v>7649359.5312164556</v>
      </c>
      <c r="V49" s="139">
        <f t="shared" ca="1" si="54"/>
        <v>7891615.2629689323</v>
      </c>
      <c r="W49" s="139">
        <f t="shared" ca="1" si="54"/>
        <v>8183560.5044327583</v>
      </c>
      <c r="X49" s="139">
        <f t="shared" ca="1" si="54"/>
        <v>8484264.1031405013</v>
      </c>
      <c r="Y49" s="139">
        <f t="shared" ca="1" si="54"/>
        <v>8751978.8345532119</v>
      </c>
      <c r="Z49" s="139">
        <f t="shared" ca="1" si="54"/>
        <v>9070995.2824222557</v>
      </c>
    </row>
    <row r="50" spans="1:26" x14ac:dyDescent="0.35">
      <c r="B50" s="143" t="s">
        <v>257</v>
      </c>
      <c r="C50" s="141"/>
      <c r="D50" s="141"/>
      <c r="E50" s="141"/>
      <c r="F50" s="144" t="str">
        <f ca="1">+IFERROR(F49/F43,"")</f>
        <v/>
      </c>
      <c r="G50" s="144" t="str">
        <f t="shared" ref="G50:Z50" ca="1" si="55">+IFERROR(G49/G43,"")</f>
        <v/>
      </c>
      <c r="H50" s="144" t="str">
        <f t="shared" ca="1" si="55"/>
        <v/>
      </c>
      <c r="I50" s="145">
        <f t="shared" ca="1" si="55"/>
        <v>0.51270974063618591</v>
      </c>
      <c r="J50" s="145">
        <f t="shared" ca="1" si="55"/>
        <v>0.51423029356941929</v>
      </c>
      <c r="K50" s="145">
        <f t="shared" ca="1" si="55"/>
        <v>0.51951428927516285</v>
      </c>
      <c r="L50" s="145">
        <f t="shared" ca="1" si="55"/>
        <v>0.52465206337010095</v>
      </c>
      <c r="M50" s="145">
        <f t="shared" ca="1" si="55"/>
        <v>0.52609010077466478</v>
      </c>
      <c r="N50" s="145">
        <f t="shared" ca="1" si="55"/>
        <v>0.53104805256824705</v>
      </c>
      <c r="O50" s="145">
        <f t="shared" ca="1" si="55"/>
        <v>0.53586820741280516</v>
      </c>
      <c r="P50" s="145">
        <f t="shared" ca="1" si="55"/>
        <v>0.53722687966201244</v>
      </c>
      <c r="Q50" s="145">
        <f t="shared" ca="1" si="55"/>
        <v>0.54187714496080641</v>
      </c>
      <c r="R50" s="145">
        <f t="shared" ca="1" si="55"/>
        <v>0.54639764969621318</v>
      </c>
      <c r="S50" s="145">
        <f t="shared" ca="1" si="55"/>
        <v>0.54768019305660143</v>
      </c>
      <c r="T50" s="145">
        <f t="shared" ca="1" si="55"/>
        <v>0.55204034534067492</v>
      </c>
      <c r="U50" s="145">
        <f t="shared" ca="1" si="55"/>
        <v>0.55627838867020341</v>
      </c>
      <c r="V50" s="145">
        <f t="shared" ca="1" si="55"/>
        <v>0.55748808305384423</v>
      </c>
      <c r="W50" s="145">
        <f t="shared" ca="1" si="55"/>
        <v>0.56157490764897522</v>
      </c>
      <c r="X50" s="145">
        <f t="shared" ca="1" si="55"/>
        <v>0.5655468961550657</v>
      </c>
      <c r="Y50" s="145">
        <f t="shared" ca="1" si="55"/>
        <v>0.56668702992249986</v>
      </c>
      <c r="Z50" s="145">
        <f t="shared" ca="1" si="55"/>
        <v>0.57051652700152666</v>
      </c>
    </row>
    <row r="51" spans="1:26" x14ac:dyDescent="0.35">
      <c r="B51" s="143" t="s">
        <v>191</v>
      </c>
      <c r="C51" s="141"/>
      <c r="D51" s="141"/>
      <c r="E51" s="141"/>
      <c r="F51" s="142">
        <f ca="1">+F49/Assumptions!$O$129</f>
        <v>0</v>
      </c>
      <c r="G51" s="142">
        <f ca="1">+G49/Assumptions!$O$129</f>
        <v>0</v>
      </c>
      <c r="H51" s="142">
        <f ca="1">+H49/Assumptions!$O$129</f>
        <v>0</v>
      </c>
      <c r="I51" s="142">
        <f ca="1">+I49/Assumptions!$O$129</f>
        <v>45316390.704356253</v>
      </c>
      <c r="J51" s="142">
        <f ca="1">+J49/Assumptions!$O$129</f>
        <v>93555522.762705863</v>
      </c>
      <c r="K51" s="142">
        <f ca="1">+K49/Assumptions!$O$129</f>
        <v>97278514.007811472</v>
      </c>
      <c r="L51" s="142">
        <f ca="1">+L49/Assumptions!$O$129</f>
        <v>101113194.99027023</v>
      </c>
      <c r="M51" s="142">
        <f ca="1">+M49/Assumptions!$O$129</f>
        <v>104357266.88423936</v>
      </c>
      <c r="N51" s="142">
        <f ca="1">+N49/Assumptions!$O$129</f>
        <v>108425479.93852983</v>
      </c>
      <c r="O51" s="142">
        <f ca="1">+O49/Assumptions!$O$129</f>
        <v>112615739.38444906</v>
      </c>
      <c r="P51" s="142">
        <f ca="1">+P49/Assumptions!$O$129</f>
        <v>116211944.10542317</v>
      </c>
      <c r="Q51" s="142">
        <f ca="1">+Q49/Assumptions!$O$129</f>
        <v>120657390.35159886</v>
      </c>
      <c r="R51" s="142">
        <f ca="1">+R49/Assumptions!$O$129</f>
        <v>125236199.98515984</v>
      </c>
      <c r="S51" s="142">
        <f ca="1">+S49/Assumptions!$O$129</f>
        <v>129218216.14923851</v>
      </c>
      <c r="T51" s="142">
        <f ca="1">+T49/Assumptions!$O$129</f>
        <v>134075875.2894834</v>
      </c>
      <c r="U51" s="142">
        <f ca="1">+U49/Assumptions!$O$129</f>
        <v>139079264.20393556</v>
      </c>
      <c r="V51" s="142">
        <f ca="1">+V49/Assumptions!$O$129</f>
        <v>143483913.8721624</v>
      </c>
      <c r="W51" s="142">
        <f ca="1">+W49/Assumptions!$O$129</f>
        <v>148792009.17150471</v>
      </c>
      <c r="X51" s="142">
        <f ca="1">+X49/Assumptions!$O$129</f>
        <v>154259347.32982731</v>
      </c>
      <c r="Y51" s="142">
        <f ca="1">+Y49/Assumptions!$O$129</f>
        <v>159126887.90096748</v>
      </c>
      <c r="Z51" s="142">
        <f ca="1">+Z49/Assumptions!$O$129</f>
        <v>164927186.95313191</v>
      </c>
    </row>
    <row r="53" spans="1:26" x14ac:dyDescent="0.35">
      <c r="B53" s="148" t="s">
        <v>25</v>
      </c>
      <c r="C53" s="149"/>
      <c r="D53" s="149"/>
      <c r="E53" s="149"/>
      <c r="F53" s="150">
        <f>+Assumptions!$G$22</f>
        <v>44926</v>
      </c>
      <c r="G53" s="150">
        <f>+EOMONTH(F53,12)</f>
        <v>45291</v>
      </c>
      <c r="H53" s="150">
        <f t="shared" ref="H53:Z53" si="56">+EOMONTH(G53,12)</f>
        <v>45657</v>
      </c>
      <c r="I53" s="150">
        <f t="shared" si="56"/>
        <v>46022</v>
      </c>
      <c r="J53" s="150">
        <f t="shared" si="56"/>
        <v>46387</v>
      </c>
      <c r="K53" s="150">
        <f t="shared" si="56"/>
        <v>46752</v>
      </c>
      <c r="L53" s="150">
        <f t="shared" si="56"/>
        <v>47118</v>
      </c>
      <c r="M53" s="150">
        <f t="shared" si="56"/>
        <v>47483</v>
      </c>
      <c r="N53" s="150">
        <f t="shared" si="56"/>
        <v>47848</v>
      </c>
      <c r="O53" s="150">
        <f t="shared" si="56"/>
        <v>48213</v>
      </c>
      <c r="P53" s="150">
        <f t="shared" si="56"/>
        <v>48579</v>
      </c>
      <c r="Q53" s="150">
        <f t="shared" si="56"/>
        <v>48944</v>
      </c>
      <c r="R53" s="150">
        <f t="shared" si="56"/>
        <v>49309</v>
      </c>
      <c r="S53" s="150">
        <f t="shared" si="56"/>
        <v>49674</v>
      </c>
      <c r="T53" s="150">
        <f t="shared" si="56"/>
        <v>50040</v>
      </c>
      <c r="U53" s="150">
        <f t="shared" si="56"/>
        <v>50405</v>
      </c>
      <c r="V53" s="150">
        <f t="shared" si="56"/>
        <v>50770</v>
      </c>
      <c r="W53" s="150">
        <f t="shared" si="56"/>
        <v>51135</v>
      </c>
      <c r="X53" s="150">
        <f t="shared" si="56"/>
        <v>51501</v>
      </c>
      <c r="Y53" s="150">
        <f t="shared" si="56"/>
        <v>51866</v>
      </c>
      <c r="Z53" s="150">
        <f t="shared" si="56"/>
        <v>52231</v>
      </c>
    </row>
    <row r="54" spans="1:26" x14ac:dyDescent="0.35">
      <c r="B54" s="33" t="s">
        <v>766</v>
      </c>
      <c r="C54" s="33"/>
      <c r="D54" s="40"/>
      <c r="E54" s="40"/>
      <c r="F54" s="42">
        <f>+IF(AND(F53&gt;=Assumptions!$G$26,F53&lt;Assumptions!$G$28),Assumptions!$G$137/ROUNDUP((Assumptions!$G$27/12),0),0)</f>
        <v>0</v>
      </c>
      <c r="G54" s="42">
        <f>+IF(AND(G53&gt;=Assumptions!$G$26,G53&lt;Assumptions!$G$28),Assumptions!$G$137/ROUNDUP((Assumptions!$G$27/12),0),0)</f>
        <v>0</v>
      </c>
      <c r="H54" s="42">
        <f>+IF(AND(H53&gt;=Assumptions!$G$26,H53&lt;Assumptions!$G$28),Assumptions!$G$137/ROUNDUP((Assumptions!$G$27/12),0),0)</f>
        <v>0</v>
      </c>
      <c r="I54" s="42">
        <f>+IF(AND(I53&gt;=Assumptions!$G$26,I53&lt;Assumptions!$G$28),Assumptions!$G$137/ROUNDUP((Assumptions!$G$27/12),0),0)</f>
        <v>69300</v>
      </c>
      <c r="J54" s="42">
        <f>+IF(AND(J53&gt;=Assumptions!$G$26,J53&lt;Assumptions!$G$28),Assumptions!$G$137/ROUNDUP((Assumptions!$G$27/12),0),0)</f>
        <v>69300</v>
      </c>
      <c r="K54" s="42">
        <f>+IF(AND(K53&gt;=Assumptions!$G$26,K53&lt;Assumptions!$G$28),Assumptions!$G$137/ROUNDUP((Assumptions!$G$27/12),0),0)</f>
        <v>0</v>
      </c>
      <c r="L54" s="42">
        <f>+IF(AND(L53&gt;=Assumptions!$G$26,L53&lt;Assumptions!$G$28),Assumptions!$G$137/ROUNDUP((Assumptions!$G$27/12),0),0)</f>
        <v>0</v>
      </c>
      <c r="M54" s="42">
        <f>+IF(AND(M53&gt;=Assumptions!$G$26,M53&lt;Assumptions!$G$28),Assumptions!$G$137/ROUNDUP((Assumptions!$G$27/12),0),0)</f>
        <v>0</v>
      </c>
      <c r="N54" s="42">
        <f>+IF(AND(N53&gt;=Assumptions!$G$26,N53&lt;Assumptions!$G$28),Assumptions!$G$137/ROUNDUP((Assumptions!$G$27/12),0),0)</f>
        <v>0</v>
      </c>
      <c r="O54" s="42">
        <f>+IF(AND(O53&gt;=Assumptions!$G$26,O53&lt;Assumptions!$G$28),Assumptions!$G$137/ROUNDUP((Assumptions!$G$27/12),0),0)</f>
        <v>0</v>
      </c>
      <c r="P54" s="42">
        <f>+IF(AND(P53&gt;=Assumptions!$G$26,P53&lt;Assumptions!$G$28),Assumptions!$G$137/ROUNDUP((Assumptions!$G$27/12),0),0)</f>
        <v>0</v>
      </c>
      <c r="Q54" s="42">
        <f>+IF(AND(Q53&gt;=Assumptions!$G$26,Q53&lt;Assumptions!$G$28),Assumptions!$G$137/ROUNDUP((Assumptions!$G$27/12),0),0)</f>
        <v>0</v>
      </c>
      <c r="R54" s="42">
        <f>+IF(AND(R53&gt;=Assumptions!$G$26,R53&lt;Assumptions!$G$28),Assumptions!$G$137/ROUNDUP((Assumptions!$G$27/12),0),0)</f>
        <v>0</v>
      </c>
      <c r="S54" s="42">
        <f>+IF(AND(S53&gt;=Assumptions!$G$26,S53&lt;Assumptions!$G$28),Assumptions!$G$137/ROUNDUP((Assumptions!$G$27/12),0),0)</f>
        <v>0</v>
      </c>
      <c r="T54" s="42">
        <f>+IF(AND(T53&gt;=Assumptions!$G$26,T53&lt;Assumptions!$G$28),Assumptions!$G$137/ROUNDUP((Assumptions!$G$27/12),0),0)</f>
        <v>0</v>
      </c>
      <c r="U54" s="42">
        <f>+IF(AND(U53&gt;=Assumptions!$G$26,U53&lt;Assumptions!$G$28),Assumptions!$G$137/ROUNDUP((Assumptions!$G$27/12),0),0)</f>
        <v>0</v>
      </c>
      <c r="V54" s="42">
        <f>+IF(AND(V53&gt;=Assumptions!$G$26,V53&lt;Assumptions!$G$28),Assumptions!$G$137/ROUNDUP((Assumptions!$G$27/12),0),0)</f>
        <v>0</v>
      </c>
      <c r="W54" s="42">
        <f>+IF(AND(W53&gt;=Assumptions!$G$26,W53&lt;Assumptions!$G$28),Assumptions!$G$137/ROUNDUP((Assumptions!$G$27/12),0),0)</f>
        <v>0</v>
      </c>
      <c r="X54" s="42">
        <f>+IF(AND(X53&gt;=Assumptions!$G$26,X53&lt;Assumptions!$G$28),Assumptions!$G$137/ROUNDUP((Assumptions!$G$27/12),0),0)</f>
        <v>0</v>
      </c>
      <c r="Y54" s="42">
        <f>+IF(AND(Y53&gt;=Assumptions!$G$26,Y53&lt;Assumptions!$G$28),Assumptions!$G$137/ROUNDUP((Assumptions!$G$27/12),0),0)</f>
        <v>0</v>
      </c>
      <c r="Z54" s="42">
        <f>+IF(AND(Z53&gt;=Assumptions!$G$26,Z53&lt;Assumptions!$G$28),Assumptions!$G$137/ROUNDUP((Assumptions!$G$27/12),0),0)</f>
        <v>0</v>
      </c>
    </row>
    <row r="55" spans="1:26" x14ac:dyDescent="0.35">
      <c r="B55" s="33" t="s">
        <v>249</v>
      </c>
      <c r="C55" s="33"/>
      <c r="D55" s="42">
        <v>0</v>
      </c>
      <c r="E55" s="42"/>
      <c r="F55" s="42">
        <f>+D55+F54</f>
        <v>0</v>
      </c>
      <c r="G55" s="42">
        <f t="shared" ref="G55:Z55" si="57">+F55+G54</f>
        <v>0</v>
      </c>
      <c r="H55" s="42">
        <f t="shared" si="57"/>
        <v>0</v>
      </c>
      <c r="I55" s="42">
        <f t="shared" si="57"/>
        <v>69300</v>
      </c>
      <c r="J55" s="42">
        <f t="shared" si="57"/>
        <v>138600</v>
      </c>
      <c r="K55" s="42">
        <f t="shared" si="57"/>
        <v>138600</v>
      </c>
      <c r="L55" s="42">
        <f t="shared" si="57"/>
        <v>138600</v>
      </c>
      <c r="M55" s="42">
        <f t="shared" si="57"/>
        <v>138600</v>
      </c>
      <c r="N55" s="42">
        <f t="shared" si="57"/>
        <v>138600</v>
      </c>
      <c r="O55" s="42">
        <f t="shared" si="57"/>
        <v>138600</v>
      </c>
      <c r="P55" s="42">
        <f t="shared" si="57"/>
        <v>138600</v>
      </c>
      <c r="Q55" s="42">
        <f t="shared" si="57"/>
        <v>138600</v>
      </c>
      <c r="R55" s="42">
        <f t="shared" si="57"/>
        <v>138600</v>
      </c>
      <c r="S55" s="42">
        <f t="shared" si="57"/>
        <v>138600</v>
      </c>
      <c r="T55" s="42">
        <f t="shared" si="57"/>
        <v>138600</v>
      </c>
      <c r="U55" s="42">
        <f t="shared" si="57"/>
        <v>138600</v>
      </c>
      <c r="V55" s="42">
        <f t="shared" si="57"/>
        <v>138600</v>
      </c>
      <c r="W55" s="42">
        <f t="shared" si="57"/>
        <v>138600</v>
      </c>
      <c r="X55" s="42">
        <f t="shared" si="57"/>
        <v>138600</v>
      </c>
      <c r="Y55" s="42">
        <f t="shared" si="57"/>
        <v>138600</v>
      </c>
      <c r="Z55" s="42">
        <f t="shared" si="57"/>
        <v>138600</v>
      </c>
    </row>
    <row r="56" spans="1:26" x14ac:dyDescent="0.35">
      <c r="B56" s="33" t="s">
        <v>306</v>
      </c>
      <c r="C56" s="33"/>
      <c r="D56" s="42"/>
      <c r="E56" s="42"/>
      <c r="F56" s="108">
        <f t="shared" ref="F56:Z56" si="58">+F55/SUM($F54:$Z54)</f>
        <v>0</v>
      </c>
      <c r="G56" s="108">
        <f t="shared" si="58"/>
        <v>0</v>
      </c>
      <c r="H56" s="108">
        <f t="shared" si="58"/>
        <v>0</v>
      </c>
      <c r="I56" s="108">
        <f t="shared" si="58"/>
        <v>0.5</v>
      </c>
      <c r="J56" s="108">
        <f t="shared" si="58"/>
        <v>1</v>
      </c>
      <c r="K56" s="108">
        <f t="shared" si="58"/>
        <v>1</v>
      </c>
      <c r="L56" s="108">
        <f t="shared" si="58"/>
        <v>1</v>
      </c>
      <c r="M56" s="108">
        <f t="shared" si="58"/>
        <v>1</v>
      </c>
      <c r="N56" s="108">
        <f t="shared" si="58"/>
        <v>1</v>
      </c>
      <c r="O56" s="108">
        <f t="shared" si="58"/>
        <v>1</v>
      </c>
      <c r="P56" s="108">
        <f t="shared" si="58"/>
        <v>1</v>
      </c>
      <c r="Q56" s="108">
        <f t="shared" si="58"/>
        <v>1</v>
      </c>
      <c r="R56" s="108">
        <f t="shared" si="58"/>
        <v>1</v>
      </c>
      <c r="S56" s="108">
        <f t="shared" si="58"/>
        <v>1</v>
      </c>
      <c r="T56" s="108">
        <f t="shared" si="58"/>
        <v>1</v>
      </c>
      <c r="U56" s="108">
        <f t="shared" si="58"/>
        <v>1</v>
      </c>
      <c r="V56" s="108">
        <f t="shared" si="58"/>
        <v>1</v>
      </c>
      <c r="W56" s="108">
        <f t="shared" si="58"/>
        <v>1</v>
      </c>
      <c r="X56" s="108">
        <f t="shared" si="58"/>
        <v>1</v>
      </c>
      <c r="Y56" s="108">
        <f t="shared" si="58"/>
        <v>1</v>
      </c>
      <c r="Z56" s="108">
        <f t="shared" si="58"/>
        <v>1</v>
      </c>
    </row>
    <row r="57" spans="1:26" x14ac:dyDescent="0.35">
      <c r="B57" s="33"/>
      <c r="C57" s="33"/>
      <c r="D57" s="40"/>
      <c r="E57" s="40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x14ac:dyDescent="0.35">
      <c r="B58" s="33" t="s">
        <v>254</v>
      </c>
      <c r="C58" s="33"/>
      <c r="D58" s="42"/>
      <c r="E58" s="42"/>
      <c r="F58" s="108">
        <v>1</v>
      </c>
      <c r="G58" s="108">
        <f>+IF(MOD(G$2,Assumptions!$O$66)=(Assumptions!$O$66-1),F58*(1+Assumptions!$O$65),'Phase II Pro Forma'!F58)</f>
        <v>1</v>
      </c>
      <c r="H58" s="108">
        <f>+IF(MOD(H$2,Assumptions!$O$66)=(Assumptions!$O$66-1),G58*(1+Assumptions!$O$65),'Phase II Pro Forma'!G58)</f>
        <v>1</v>
      </c>
      <c r="I58" s="108">
        <f>+IF(MOD(I$2,Assumptions!$O$66)=(Assumptions!$O$66-1),H58*(1+Assumptions!$O$65),'Phase II Pro Forma'!H58)</f>
        <v>1</v>
      </c>
      <c r="J58" s="108">
        <f>+IF(MOD(J$2,Assumptions!$O$66)=(Assumptions!$O$66-1),I58*(1+Assumptions!$O$65),'Phase II Pro Forma'!I58)</f>
        <v>1</v>
      </c>
      <c r="K58" s="108">
        <f>+IF(MOD(K$2,Assumptions!$O$66)=(Assumptions!$O$66-1),J58*(1+Assumptions!$O$65),'Phase II Pro Forma'!J58)</f>
        <v>1</v>
      </c>
      <c r="L58" s="108">
        <f>+IF(MOD(L$2,Assumptions!$O$66)=(Assumptions!$O$66-1),K58*(1+Assumptions!$O$65),'Phase II Pro Forma'!K58)</f>
        <v>1.1000000000000001</v>
      </c>
      <c r="M58" s="108">
        <f>+IF(MOD(M$2,Assumptions!$O$66)=(Assumptions!$O$66-1),L58*(1+Assumptions!$O$65),'Phase II Pro Forma'!L58)</f>
        <v>1.1000000000000001</v>
      </c>
      <c r="N58" s="108">
        <f>+IF(MOD(N$2,Assumptions!$O$66)=(Assumptions!$O$66-1),M58*(1+Assumptions!$O$65),'Phase II Pro Forma'!M58)</f>
        <v>1.1000000000000001</v>
      </c>
      <c r="O58" s="108">
        <f>+IF(MOD(O$2,Assumptions!$O$66)=(Assumptions!$O$66-1),N58*(1+Assumptions!$O$65),'Phase II Pro Forma'!N58)</f>
        <v>1.1000000000000001</v>
      </c>
      <c r="P58" s="108">
        <f>+IF(MOD(P$2,Assumptions!$O$66)=(Assumptions!$O$66-1),O58*(1+Assumptions!$O$65),'Phase II Pro Forma'!O58)</f>
        <v>1.1000000000000001</v>
      </c>
      <c r="Q58" s="108">
        <f>+IF(MOD(Q$2,Assumptions!$O$66)=(Assumptions!$O$66-1),P58*(1+Assumptions!$O$65),'Phase II Pro Forma'!P58)</f>
        <v>1.2100000000000002</v>
      </c>
      <c r="R58" s="108">
        <f>+IF(MOD(R$2,Assumptions!$O$66)=(Assumptions!$O$66-1),Q58*(1+Assumptions!$O$65),'Phase II Pro Forma'!Q58)</f>
        <v>1.2100000000000002</v>
      </c>
      <c r="S58" s="108">
        <f>+IF(MOD(S$2,Assumptions!$O$66)=(Assumptions!$O$66-1),R58*(1+Assumptions!$O$65),'Phase II Pro Forma'!R58)</f>
        <v>1.2100000000000002</v>
      </c>
      <c r="T58" s="108">
        <f>+IF(MOD(T$2,Assumptions!$O$66)=(Assumptions!$O$66-1),S58*(1+Assumptions!$O$65),'Phase II Pro Forma'!S58)</f>
        <v>1.2100000000000002</v>
      </c>
      <c r="U58" s="108">
        <f>+IF(MOD(U$2,Assumptions!$O$66)=(Assumptions!$O$66-1),T58*(1+Assumptions!$O$65),'Phase II Pro Forma'!T58)</f>
        <v>1.2100000000000002</v>
      </c>
      <c r="V58" s="108">
        <f>+IF(MOD(V$2,Assumptions!$O$66)=(Assumptions!$O$66-1),U58*(1+Assumptions!$O$65),'Phase II Pro Forma'!U58)</f>
        <v>1.3310000000000004</v>
      </c>
      <c r="W58" s="108">
        <f>+IF(MOD(W$2,Assumptions!$O$66)=(Assumptions!$O$66-1),V58*(1+Assumptions!$O$65),'Phase II Pro Forma'!V58)</f>
        <v>1.3310000000000004</v>
      </c>
      <c r="X58" s="108">
        <f>+IF(MOD(X$2,Assumptions!$O$66)=(Assumptions!$O$66-1),W58*(1+Assumptions!$O$65),'Phase II Pro Forma'!W58)</f>
        <v>1.3310000000000004</v>
      </c>
      <c r="Y58" s="108">
        <f>+IF(MOD(Y$2,Assumptions!$O$66)=(Assumptions!$O$66-1),X58*(1+Assumptions!$O$65),'Phase II Pro Forma'!X58)</f>
        <v>1.3310000000000004</v>
      </c>
      <c r="Z58" s="108">
        <f>+IF(MOD(Z$2,Assumptions!$O$66)=(Assumptions!$O$66-1),Y58*(1+Assumptions!$O$65),'Phase II Pro Forma'!Y58)</f>
        <v>1.3310000000000004</v>
      </c>
    </row>
    <row r="59" spans="1:26" x14ac:dyDescent="0.35">
      <c r="B59" s="33" t="s">
        <v>255</v>
      </c>
      <c r="C59" s="33"/>
      <c r="D59" s="42"/>
      <c r="E59" s="42"/>
      <c r="F59" s="108">
        <v>1</v>
      </c>
      <c r="G59" s="108">
        <f>+F59*(1+Assumptions!$O$78)</f>
        <v>1.03</v>
      </c>
      <c r="H59" s="108">
        <f>+G59*(1+Assumptions!$O$78)</f>
        <v>1.0609</v>
      </c>
      <c r="I59" s="108">
        <f>+H59*(1+Assumptions!$O$78)</f>
        <v>1.092727</v>
      </c>
      <c r="J59" s="108">
        <f>+I59*(1+Assumptions!$O$78)</f>
        <v>1.1255088100000001</v>
      </c>
      <c r="K59" s="108">
        <f>+J59*(1+Assumptions!$O$78)</f>
        <v>1.1592740743000001</v>
      </c>
      <c r="L59" s="108">
        <f>+K59*(1+Assumptions!$O$78)</f>
        <v>1.1940522965290001</v>
      </c>
      <c r="M59" s="108">
        <f>+L59*(1+Assumptions!$O$78)</f>
        <v>1.2298738654248702</v>
      </c>
      <c r="N59" s="108">
        <f>+M59*(1+Assumptions!$O$78)</f>
        <v>1.2667700813876164</v>
      </c>
      <c r="O59" s="108">
        <f>+N59*(1+Assumptions!$O$78)</f>
        <v>1.3047731838292449</v>
      </c>
      <c r="P59" s="108">
        <f>+O59*(1+Assumptions!$O$78)</f>
        <v>1.3439163793441222</v>
      </c>
      <c r="Q59" s="108">
        <f>+P59*(1+Assumptions!$O$78)</f>
        <v>1.3842338707244459</v>
      </c>
      <c r="R59" s="108">
        <f>+Q59*(1+Assumptions!$O$78)</f>
        <v>1.4257608868461793</v>
      </c>
      <c r="S59" s="108">
        <f>+R59*(1+Assumptions!$O$78)</f>
        <v>1.4685337134515648</v>
      </c>
      <c r="T59" s="108">
        <f>+S59*(1+Assumptions!$O$78)</f>
        <v>1.5125897248551119</v>
      </c>
      <c r="U59" s="108">
        <f>+T59*(1+Assumptions!$O$78)</f>
        <v>1.5579674166007653</v>
      </c>
      <c r="V59" s="108">
        <f>+U59*(1+Assumptions!$O$78)</f>
        <v>1.6047064390987884</v>
      </c>
      <c r="W59" s="108">
        <f>+V59*(1+Assumptions!$O$78)</f>
        <v>1.652847632271752</v>
      </c>
      <c r="X59" s="108">
        <f>+W59*(1+Assumptions!$O$78)</f>
        <v>1.7024330612399046</v>
      </c>
      <c r="Y59" s="108">
        <f>+X59*(1+Assumptions!$O$78)</f>
        <v>1.7535060530771018</v>
      </c>
      <c r="Z59" s="108">
        <f>+Y59*(1+Assumptions!$O$78)</f>
        <v>1.806111234669415</v>
      </c>
    </row>
    <row r="60" spans="1:26" x14ac:dyDescent="0.35">
      <c r="B60" s="33"/>
      <c r="C60" s="33"/>
      <c r="D60" s="40"/>
      <c r="E60" s="40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x14ac:dyDescent="0.35">
      <c r="B61" s="33" t="s">
        <v>246</v>
      </c>
      <c r="C61" s="33"/>
      <c r="D61" s="40"/>
      <c r="E61" s="40"/>
      <c r="F61" s="34">
        <f>+F56*Assumptions!$G$136*F58</f>
        <v>0</v>
      </c>
      <c r="G61" s="34">
        <f>+G56*Assumptions!$G$136*G58</f>
        <v>0</v>
      </c>
      <c r="H61" s="34">
        <f>+H56*Assumptions!$G$136*H58</f>
        <v>0</v>
      </c>
      <c r="I61" s="34">
        <f>+I56*Assumptions!$G$136*I58</f>
        <v>1658293.56</v>
      </c>
      <c r="J61" s="34">
        <f>+J56*Assumptions!$G$136*J58</f>
        <v>3316587.12</v>
      </c>
      <c r="K61" s="34">
        <f>+K56*Assumptions!$G$136*K58</f>
        <v>3316587.12</v>
      </c>
      <c r="L61" s="34">
        <f>+L56*Assumptions!$G$136*L58</f>
        <v>3648245.8320000004</v>
      </c>
      <c r="M61" s="34">
        <f>+M56*Assumptions!$G$136*M58</f>
        <v>3648245.8320000004</v>
      </c>
      <c r="N61" s="34">
        <f>+N56*Assumptions!$G$136*N58</f>
        <v>3648245.8320000004</v>
      </c>
      <c r="O61" s="34">
        <f>+O56*Assumptions!$G$136*O58</f>
        <v>3648245.8320000004</v>
      </c>
      <c r="P61" s="34">
        <f>+P56*Assumptions!$G$136*P58</f>
        <v>3648245.8320000004</v>
      </c>
      <c r="Q61" s="34">
        <f>+Q56*Assumptions!$G$136*Q58</f>
        <v>4013070.4152000006</v>
      </c>
      <c r="R61" s="34">
        <f>+R56*Assumptions!$G$136*R58</f>
        <v>4013070.4152000006</v>
      </c>
      <c r="S61" s="34">
        <f>+S56*Assumptions!$G$136*S58</f>
        <v>4013070.4152000006</v>
      </c>
      <c r="T61" s="34">
        <f>+T56*Assumptions!$G$136*T58</f>
        <v>4013070.4152000006</v>
      </c>
      <c r="U61" s="34">
        <f>+U56*Assumptions!$G$136*U58</f>
        <v>4013070.4152000006</v>
      </c>
      <c r="V61" s="34">
        <f>+V56*Assumptions!$G$136*V58</f>
        <v>4414377.4567200011</v>
      </c>
      <c r="W61" s="34">
        <f>+W56*Assumptions!$G$136*W58</f>
        <v>4414377.4567200011</v>
      </c>
      <c r="X61" s="34">
        <f>+X56*Assumptions!$G$136*X58</f>
        <v>4414377.4567200011</v>
      </c>
      <c r="Y61" s="34">
        <f>+Y56*Assumptions!$G$136*Y58</f>
        <v>4414377.4567200011</v>
      </c>
      <c r="Z61" s="34">
        <f>+Z56*Assumptions!$G$136*Z58</f>
        <v>4414377.4567200011</v>
      </c>
    </row>
    <row r="62" spans="1:26" x14ac:dyDescent="0.35">
      <c r="B62" s="33" t="s">
        <v>247</v>
      </c>
      <c r="C62" s="33"/>
      <c r="D62" s="40"/>
      <c r="E62" s="40"/>
      <c r="F62" s="42">
        <f>-F61*Assumptions!$O$56</f>
        <v>0</v>
      </c>
      <c r="G62" s="42">
        <f>-G61*Assumptions!$O$56</f>
        <v>0</v>
      </c>
      <c r="H62" s="42">
        <f>-H61*Assumptions!$O$56</f>
        <v>0</v>
      </c>
      <c r="I62" s="42">
        <f>-I61*Assumptions!$O$56</f>
        <v>-165829.35600000003</v>
      </c>
      <c r="J62" s="42">
        <f>-J61*Assumptions!$O$56</f>
        <v>-331658.71200000006</v>
      </c>
      <c r="K62" s="42">
        <f>-K61*Assumptions!$O$56</f>
        <v>-331658.71200000006</v>
      </c>
      <c r="L62" s="42">
        <f>-L61*Assumptions!$O$56</f>
        <v>-364824.58320000005</v>
      </c>
      <c r="M62" s="42">
        <f>-M61*Assumptions!$O$56</f>
        <v>-364824.58320000005</v>
      </c>
      <c r="N62" s="42">
        <f>-N61*Assumptions!$O$56</f>
        <v>-364824.58320000005</v>
      </c>
      <c r="O62" s="42">
        <f>-O61*Assumptions!$O$56</f>
        <v>-364824.58320000005</v>
      </c>
      <c r="P62" s="42">
        <f>-P61*Assumptions!$O$56</f>
        <v>-364824.58320000005</v>
      </c>
      <c r="Q62" s="42">
        <f>-Q61*Assumptions!$O$56</f>
        <v>-401307.04152000009</v>
      </c>
      <c r="R62" s="42">
        <f>-R61*Assumptions!$O$56</f>
        <v>-401307.04152000009</v>
      </c>
      <c r="S62" s="42">
        <f>-S61*Assumptions!$O$56</f>
        <v>-401307.04152000009</v>
      </c>
      <c r="T62" s="42">
        <f>-T61*Assumptions!$O$56</f>
        <v>-401307.04152000009</v>
      </c>
      <c r="U62" s="42">
        <f>-U61*Assumptions!$O$56</f>
        <v>-401307.04152000009</v>
      </c>
      <c r="V62" s="42">
        <f>-V61*Assumptions!$O$56</f>
        <v>-441437.74567200011</v>
      </c>
      <c r="W62" s="42">
        <f>-W61*Assumptions!$O$56</f>
        <v>-441437.74567200011</v>
      </c>
      <c r="X62" s="42">
        <f>-X61*Assumptions!$O$56</f>
        <v>-441437.74567200011</v>
      </c>
      <c r="Y62" s="42">
        <f>-Y61*Assumptions!$O$56</f>
        <v>-441437.74567200011</v>
      </c>
      <c r="Z62" s="42">
        <f>-Z61*Assumptions!$O$56</f>
        <v>-441437.74567200011</v>
      </c>
    </row>
    <row r="63" spans="1:26" x14ac:dyDescent="0.35">
      <c r="B63" s="33" t="s">
        <v>262</v>
      </c>
      <c r="C63" s="33"/>
      <c r="D63" s="40"/>
      <c r="E63" s="40"/>
      <c r="F63" s="151">
        <f ca="1">+F68*Assumptions!$O$89</f>
        <v>0</v>
      </c>
      <c r="G63" s="151">
        <f ca="1">+G68*Assumptions!$O$89</f>
        <v>0</v>
      </c>
      <c r="H63" s="151">
        <f ca="1">+H68*Assumptions!$O$89</f>
        <v>0</v>
      </c>
      <c r="I63" s="151">
        <f ca="1">+I68*Assumptions!$O$89</f>
        <v>939188.14237427351</v>
      </c>
      <c r="J63" s="151">
        <f ca="1">+J68*Assumptions!$O$89</f>
        <v>1925870.7595963094</v>
      </c>
      <c r="K63" s="151">
        <f ca="1">+K68*Assumptions!$O$89</f>
        <v>1956545.032478435</v>
      </c>
      <c r="L63" s="151">
        <f ca="1">+L68*Assumptions!$O$89</f>
        <v>1988139.5335470245</v>
      </c>
      <c r="M63" s="151">
        <f ca="1">+M68*Assumptions!$O$89</f>
        <v>2038749.7695848474</v>
      </c>
      <c r="N63" s="151">
        <f ca="1">+N68*Assumptions!$O$89</f>
        <v>2072268.3757685139</v>
      </c>
      <c r="O63" s="151">
        <f ca="1">+O68*Assumptions!$O$89</f>
        <v>2106792.54013769</v>
      </c>
      <c r="P63" s="151">
        <f ca="1">+P68*Assumptions!$O$89</f>
        <v>2160781.6873738612</v>
      </c>
      <c r="Q63" s="151">
        <f ca="1">+Q68*Assumptions!$O$89</f>
        <v>2197408.3733531204</v>
      </c>
      <c r="R63" s="151">
        <f ca="1">+R68*Assumptions!$O$89</f>
        <v>2235133.8599117571</v>
      </c>
      <c r="S63" s="151">
        <f ca="1">+S68*Assumptions!$O$89</f>
        <v>2292788.9541617911</v>
      </c>
      <c r="T63" s="151">
        <f ca="1">+T68*Assumptions!$O$89</f>
        <v>2332811.9228518493</v>
      </c>
      <c r="U63" s="151">
        <f ca="1">+U68*Assumptions!$O$89</f>
        <v>2374035.5806026096</v>
      </c>
      <c r="V63" s="151">
        <f ca="1">+V68*Assumptions!$O$89</f>
        <v>2435669.7480424223</v>
      </c>
      <c r="W63" s="151">
        <f ca="1">+W68*Assumptions!$O$89</f>
        <v>2479403.9265502039</v>
      </c>
      <c r="X63" s="151">
        <f ca="1">+X68*Assumptions!$O$89</f>
        <v>2524450.1304132179</v>
      </c>
      <c r="Y63" s="151">
        <f ca="1">+Y68*Assumptions!$O$89</f>
        <v>2590404.9963477845</v>
      </c>
      <c r="Z63" s="151">
        <f ca="1">+Z68*Assumptions!$O$89</f>
        <v>2638194.514026056</v>
      </c>
    </row>
    <row r="64" spans="1:26" x14ac:dyDescent="0.35">
      <c r="B64" s="137" t="s">
        <v>256</v>
      </c>
      <c r="C64" s="137"/>
      <c r="D64" s="137"/>
      <c r="E64" s="137"/>
      <c r="F64" s="129">
        <f t="shared" ref="F64:Z64" ca="1" si="59">+SUM(F61:F63)</f>
        <v>0</v>
      </c>
      <c r="G64" s="129">
        <f t="shared" ca="1" si="59"/>
        <v>0</v>
      </c>
      <c r="H64" s="129">
        <f t="shared" ca="1" si="59"/>
        <v>0</v>
      </c>
      <c r="I64" s="129">
        <f t="shared" ca="1" si="59"/>
        <v>2431652.3463742733</v>
      </c>
      <c r="J64" s="129">
        <f t="shared" ca="1" si="59"/>
        <v>4910799.1675963094</v>
      </c>
      <c r="K64" s="129">
        <f t="shared" ca="1" si="59"/>
        <v>4941473.4404784348</v>
      </c>
      <c r="L64" s="129">
        <f t="shared" ca="1" si="59"/>
        <v>5271560.7823470244</v>
      </c>
      <c r="M64" s="129">
        <f t="shared" ca="1" si="59"/>
        <v>5322171.0183848478</v>
      </c>
      <c r="N64" s="129">
        <f t="shared" ca="1" si="59"/>
        <v>5355689.6245685145</v>
      </c>
      <c r="O64" s="129">
        <f t="shared" ca="1" si="59"/>
        <v>5390213.7889376897</v>
      </c>
      <c r="P64" s="129">
        <f t="shared" ca="1" si="59"/>
        <v>5444202.9361738618</v>
      </c>
      <c r="Q64" s="129">
        <f t="shared" ca="1" si="59"/>
        <v>5809171.7470331211</v>
      </c>
      <c r="R64" s="129">
        <f t="shared" ca="1" si="59"/>
        <v>5846897.2335917577</v>
      </c>
      <c r="S64" s="129">
        <f t="shared" ca="1" si="59"/>
        <v>5904552.3278417923</v>
      </c>
      <c r="T64" s="129">
        <f t="shared" ca="1" si="59"/>
        <v>5944575.2965318505</v>
      </c>
      <c r="U64" s="129">
        <f t="shared" ca="1" si="59"/>
        <v>5985798.9542826097</v>
      </c>
      <c r="V64" s="129">
        <f t="shared" ca="1" si="59"/>
        <v>6408609.4590904228</v>
      </c>
      <c r="W64" s="129">
        <f t="shared" ca="1" si="59"/>
        <v>6452343.6375982054</v>
      </c>
      <c r="X64" s="129">
        <f t="shared" ca="1" si="59"/>
        <v>6497389.8414612189</v>
      </c>
      <c r="Y64" s="129">
        <f t="shared" ca="1" si="59"/>
        <v>6563344.7073957855</v>
      </c>
      <c r="Z64" s="129">
        <f t="shared" ca="1" si="59"/>
        <v>6611134.2250740565</v>
      </c>
    </row>
    <row r="66" spans="2:26" x14ac:dyDescent="0.35">
      <c r="B66" s="33" t="s">
        <v>395</v>
      </c>
      <c r="F66" s="34">
        <f>+F55*Assumptions!$O$121*'Phase II Pro Forma'!F59</f>
        <v>0</v>
      </c>
      <c r="G66" s="34">
        <f>+G55*Assumptions!$O$121*'Phase II Pro Forma'!G59</f>
        <v>0</v>
      </c>
      <c r="H66" s="34">
        <f>+H55*Assumptions!$O$121*'Phase II Pro Forma'!H59</f>
        <v>0</v>
      </c>
      <c r="I66" s="34">
        <f>+I55*Assumptions!$O$121*'Phase II Pro Forma'!I59</f>
        <v>551497.17515507992</v>
      </c>
      <c r="J66" s="34">
        <f>+J55*Assumptions!$O$121*'Phase II Pro Forma'!J59</f>
        <v>1136084.1808194648</v>
      </c>
      <c r="K66" s="34">
        <f>+K55*Assumptions!$O$121*'Phase II Pro Forma'!K59</f>
        <v>1170166.7062440487</v>
      </c>
      <c r="L66" s="34">
        <f>+L55*Assumptions!$O$121*'Phase II Pro Forma'!L59</f>
        <v>1205271.7074313704</v>
      </c>
      <c r="M66" s="34">
        <f>+M55*Assumptions!$O$121*'Phase II Pro Forma'!M59</f>
        <v>1241429.8586543114</v>
      </c>
      <c r="N66" s="34">
        <f>+N55*Assumptions!$O$121*'Phase II Pro Forma'!N59</f>
        <v>1278672.7544139409</v>
      </c>
      <c r="O66" s="34">
        <f>+O55*Assumptions!$O$121*'Phase II Pro Forma'!O59</f>
        <v>1317032.9370463591</v>
      </c>
      <c r="P66" s="34">
        <f>+P55*Assumptions!$O$121*'Phase II Pro Forma'!P59</f>
        <v>1356543.9251577498</v>
      </c>
      <c r="Q66" s="34">
        <f>+Q55*Assumptions!$O$121*'Phase II Pro Forma'!Q59</f>
        <v>1397240.2429124825</v>
      </c>
      <c r="R66" s="34">
        <f>+R55*Assumptions!$O$121*'Phase II Pro Forma'!R59</f>
        <v>1439157.4501998569</v>
      </c>
      <c r="S66" s="34">
        <f>+S55*Assumptions!$O$121*'Phase II Pro Forma'!S59</f>
        <v>1482332.1737058528</v>
      </c>
      <c r="T66" s="34">
        <f>+T55*Assumptions!$O$121*'Phase II Pro Forma'!T59</f>
        <v>1526802.1389170284</v>
      </c>
      <c r="U66" s="34">
        <f>+U55*Assumptions!$O$121*'Phase II Pro Forma'!U59</f>
        <v>1572606.2030845394</v>
      </c>
      <c r="V66" s="34">
        <f>+V55*Assumptions!$O$121*'Phase II Pro Forma'!V59</f>
        <v>1619784.3891770756</v>
      </c>
      <c r="W66" s="34">
        <f>+W55*Assumptions!$O$121*'Phase II Pro Forma'!W59</f>
        <v>1668377.920852388</v>
      </c>
      <c r="X66" s="34">
        <f>+X55*Assumptions!$O$121*'Phase II Pro Forma'!X59</f>
        <v>1718429.2584779595</v>
      </c>
      <c r="Y66" s="34">
        <f>+Y55*Assumptions!$O$121*'Phase II Pro Forma'!Y59</f>
        <v>1769982.1362322986</v>
      </c>
      <c r="Z66" s="34">
        <f>+Z55*Assumptions!$O$121*'Phase II Pro Forma'!Z59</f>
        <v>1823081.6003192675</v>
      </c>
    </row>
    <row r="67" spans="2:26" x14ac:dyDescent="0.35">
      <c r="B67" s="33" t="s">
        <v>331</v>
      </c>
      <c r="F67" s="151">
        <f ca="1">+IFERROR(INDEX('Taxes and TIF'!$AC$11:$AC$45,MATCH('Phase II Pro Forma'!F$7,'Taxes and TIF'!$R$11:$R$45,0)),0)*'Loan Sizing'!$K$17*F56</f>
        <v>0</v>
      </c>
      <c r="G67" s="151">
        <f ca="1">+IFERROR(INDEX('Taxes and TIF'!$AC$11:$AC$45,MATCH('Phase II Pro Forma'!G$7,'Taxes and TIF'!$R$11:$R$45,0)),0)*'Loan Sizing'!$K$17*G56</f>
        <v>0</v>
      </c>
      <c r="H67" s="151">
        <f ca="1">+IFERROR(INDEX('Taxes and TIF'!$AC$11:$AC$45,MATCH('Phase II Pro Forma'!H$7,'Taxes and TIF'!$R$11:$R$45,0)),0)*'Loan Sizing'!$K$17*H56</f>
        <v>0</v>
      </c>
      <c r="I67" s="151">
        <f ca="1">+IFERROR(INDEX('Taxes and TIF'!$AC$11:$AC$45,MATCH('Phase II Pro Forma'!I$7,'Taxes and TIF'!$R$11:$R$45,0)),0)*'Loan Sizing'!$K$17*I56</f>
        <v>492045.2052607793</v>
      </c>
      <c r="J67" s="151">
        <f ca="1">+IFERROR(INDEX('Taxes and TIF'!$AC$11:$AC$45,MATCH('Phase II Pro Forma'!J$7,'Taxes and TIF'!$R$11:$R$45,0)),0)*'Loan Sizing'!$K$17*J56</f>
        <v>1003772.2187319896</v>
      </c>
      <c r="K67" s="151">
        <f ca="1">+IFERROR(INDEX('Taxes and TIF'!$AC$11:$AC$45,MATCH('Phase II Pro Forma'!K$7,'Taxes and TIF'!$R$11:$R$45,0)),0)*'Loan Sizing'!$K$17*K56</f>
        <v>1003772.2187319896</v>
      </c>
      <c r="L67" s="151">
        <f ca="1">+IFERROR(INDEX('Taxes and TIF'!$AC$11:$AC$45,MATCH('Phase II Pro Forma'!L$7,'Taxes and TIF'!$R$11:$R$45,0)),0)*'Loan Sizing'!$K$17*L56</f>
        <v>1003772.2187319896</v>
      </c>
      <c r="M67" s="151">
        <f ca="1">+IFERROR(INDEX('Taxes and TIF'!$AC$11:$AC$45,MATCH('Phase II Pro Forma'!M$7,'Taxes and TIF'!$R$11:$R$45,0)),0)*'Loan Sizing'!$K$17*M56</f>
        <v>1023847.6631066295</v>
      </c>
      <c r="N67" s="151">
        <f ca="1">+IFERROR(INDEX('Taxes and TIF'!$AC$11:$AC$45,MATCH('Phase II Pro Forma'!N$7,'Taxes and TIF'!$R$11:$R$45,0)),0)*'Loan Sizing'!$K$17*N56</f>
        <v>1023847.6631066295</v>
      </c>
      <c r="O67" s="151">
        <f ca="1">+IFERROR(INDEX('Taxes and TIF'!$AC$11:$AC$45,MATCH('Phase II Pro Forma'!O$7,'Taxes and TIF'!$R$11:$R$45,0)),0)*'Loan Sizing'!$K$17*O56</f>
        <v>1023847.6631066295</v>
      </c>
      <c r="P67" s="151">
        <f ca="1">+IFERROR(INDEX('Taxes and TIF'!$AC$11:$AC$45,MATCH('Phase II Pro Forma'!P$7,'Taxes and TIF'!$R$11:$R$45,0)),0)*'Loan Sizing'!$K$17*P56</f>
        <v>1044324.6163687621</v>
      </c>
      <c r="Q67" s="151">
        <f ca="1">+IFERROR(INDEX('Taxes and TIF'!$AC$11:$AC$45,MATCH('Phase II Pro Forma'!Q$7,'Taxes and TIF'!$R$11:$R$45,0)),0)*'Loan Sizing'!$K$17*Q56</f>
        <v>1044324.6163687621</v>
      </c>
      <c r="R67" s="151">
        <f ca="1">+IFERROR(INDEX('Taxes and TIF'!$AC$11:$AC$45,MATCH('Phase II Pro Forma'!R$7,'Taxes and TIF'!$R$11:$R$45,0)),0)*'Loan Sizing'!$K$17*R56</f>
        <v>1044324.6163687621</v>
      </c>
      <c r="S67" s="151">
        <f ca="1">+IFERROR(INDEX('Taxes and TIF'!$AC$11:$AC$45,MATCH('Phase II Pro Forma'!S$7,'Taxes and TIF'!$R$11:$R$45,0)),0)*'Loan Sizing'!$K$17*S56</f>
        <v>1065211.1086961373</v>
      </c>
      <c r="T67" s="151">
        <f ca="1">+IFERROR(INDEX('Taxes and TIF'!$AC$11:$AC$45,MATCH('Phase II Pro Forma'!T$7,'Taxes and TIF'!$R$11:$R$45,0)),0)*'Loan Sizing'!$K$17*T56</f>
        <v>1065211.1086961373</v>
      </c>
      <c r="U67" s="151">
        <f ca="1">+IFERROR(INDEX('Taxes and TIF'!$AC$11:$AC$45,MATCH('Phase II Pro Forma'!U$7,'Taxes and TIF'!$R$11:$R$45,0)),0)*'Loan Sizing'!$K$17*U56</f>
        <v>1065211.1086961373</v>
      </c>
      <c r="V67" s="151">
        <f ca="1">+IFERROR(INDEX('Taxes and TIF'!$AC$11:$AC$45,MATCH('Phase II Pro Forma'!V$7,'Taxes and TIF'!$R$11:$R$45,0)),0)*'Loan Sizing'!$K$17*V56</f>
        <v>1086515.3308700603</v>
      </c>
      <c r="W67" s="151">
        <f ca="1">+IFERROR(INDEX('Taxes and TIF'!$AC$11:$AC$45,MATCH('Phase II Pro Forma'!W$7,'Taxes and TIF'!$R$11:$R$45,0)),0)*'Loan Sizing'!$K$17*W56</f>
        <v>1086515.3308700603</v>
      </c>
      <c r="X67" s="151">
        <f ca="1">+IFERROR(INDEX('Taxes and TIF'!$AC$11:$AC$45,MATCH('Phase II Pro Forma'!X$7,'Taxes and TIF'!$R$11:$R$45,0)),0)*'Loan Sizing'!$K$17*X56</f>
        <v>1086515.3308700603</v>
      </c>
      <c r="Y67" s="151">
        <f ca="1">+IFERROR(INDEX('Taxes and TIF'!$AC$11:$AC$45,MATCH('Phase II Pro Forma'!Y$7,'Taxes and TIF'!$R$11:$R$45,0)),0)*'Loan Sizing'!$K$17*Y56</f>
        <v>1108245.6374874613</v>
      </c>
      <c r="Z67" s="151">
        <f ca="1">+IFERROR(INDEX('Taxes and TIF'!$AC$11:$AC$45,MATCH('Phase II Pro Forma'!Z$7,'Taxes and TIF'!$R$11:$R$45,0)),0)*'Loan Sizing'!$K$17*Z56</f>
        <v>1108245.6374874613</v>
      </c>
    </row>
    <row r="68" spans="2:26" x14ac:dyDescent="0.35">
      <c r="B68" s="137" t="s">
        <v>252</v>
      </c>
      <c r="C68" s="137"/>
      <c r="D68" s="137"/>
      <c r="E68" s="137"/>
      <c r="F68" s="129">
        <f ca="1">+SUM(F66:F67)</f>
        <v>0</v>
      </c>
      <c r="G68" s="129">
        <f t="shared" ref="G68" ca="1" si="60">+SUM(G66:G67)</f>
        <v>0</v>
      </c>
      <c r="H68" s="129">
        <f t="shared" ref="H68:Z68" ca="1" si="61">+SUM(H66:H67)</f>
        <v>0</v>
      </c>
      <c r="I68" s="129">
        <f t="shared" ca="1" si="61"/>
        <v>1043542.3804158592</v>
      </c>
      <c r="J68" s="129">
        <f t="shared" ca="1" si="61"/>
        <v>2139856.3995514545</v>
      </c>
      <c r="K68" s="129">
        <f t="shared" ca="1" si="61"/>
        <v>2173938.9249760383</v>
      </c>
      <c r="L68" s="129">
        <f t="shared" ca="1" si="61"/>
        <v>2209043.92616336</v>
      </c>
      <c r="M68" s="129">
        <f t="shared" ca="1" si="61"/>
        <v>2265277.521760941</v>
      </c>
      <c r="N68" s="129">
        <f t="shared" ca="1" si="61"/>
        <v>2302520.4175205706</v>
      </c>
      <c r="O68" s="129">
        <f t="shared" ca="1" si="61"/>
        <v>2340880.6001529885</v>
      </c>
      <c r="P68" s="129">
        <f t="shared" ca="1" si="61"/>
        <v>2400868.5415265118</v>
      </c>
      <c r="Q68" s="129">
        <f t="shared" ca="1" si="61"/>
        <v>2441564.8592812447</v>
      </c>
      <c r="R68" s="129">
        <f t="shared" ca="1" si="61"/>
        <v>2483482.0665686191</v>
      </c>
      <c r="S68" s="129">
        <f t="shared" ca="1" si="61"/>
        <v>2547543.2824019901</v>
      </c>
      <c r="T68" s="129">
        <f t="shared" ca="1" si="61"/>
        <v>2592013.2476131655</v>
      </c>
      <c r="U68" s="129">
        <f t="shared" ca="1" si="61"/>
        <v>2637817.3117806767</v>
      </c>
      <c r="V68" s="129">
        <f t="shared" ca="1" si="61"/>
        <v>2706299.7200471358</v>
      </c>
      <c r="W68" s="129">
        <f t="shared" ca="1" si="61"/>
        <v>2754893.2517224485</v>
      </c>
      <c r="X68" s="129">
        <f t="shared" ca="1" si="61"/>
        <v>2804944.58934802</v>
      </c>
      <c r="Y68" s="129">
        <f t="shared" ca="1" si="61"/>
        <v>2878227.7737197597</v>
      </c>
      <c r="Z68" s="129">
        <f t="shared" ca="1" si="61"/>
        <v>2931327.237806729</v>
      </c>
    </row>
    <row r="69" spans="2:26" x14ac:dyDescent="0.35">
      <c r="B69" s="33"/>
    </row>
    <row r="70" spans="2:26" x14ac:dyDescent="0.35">
      <c r="B70" s="138" t="s">
        <v>251</v>
      </c>
      <c r="C70" s="138"/>
      <c r="D70" s="138"/>
      <c r="E70" s="138"/>
      <c r="F70" s="139">
        <f ca="1">+F64-F68</f>
        <v>0</v>
      </c>
      <c r="G70" s="139">
        <f t="shared" ref="G70:Z70" ca="1" si="62">+G64-G68</f>
        <v>0</v>
      </c>
      <c r="H70" s="139">
        <f t="shared" ca="1" si="62"/>
        <v>0</v>
      </c>
      <c r="I70" s="139">
        <f t="shared" ca="1" si="62"/>
        <v>1388109.9659584141</v>
      </c>
      <c r="J70" s="139">
        <f t="shared" ca="1" si="62"/>
        <v>2770942.768044855</v>
      </c>
      <c r="K70" s="139">
        <f t="shared" ca="1" si="62"/>
        <v>2767534.5155023965</v>
      </c>
      <c r="L70" s="139">
        <f t="shared" ca="1" si="62"/>
        <v>3062516.8561836644</v>
      </c>
      <c r="M70" s="139">
        <f t="shared" ca="1" si="62"/>
        <v>3056893.4966239068</v>
      </c>
      <c r="N70" s="139">
        <f t="shared" ca="1" si="62"/>
        <v>3053169.207047944</v>
      </c>
      <c r="O70" s="139">
        <f t="shared" ca="1" si="62"/>
        <v>3049333.1887847013</v>
      </c>
      <c r="P70" s="139">
        <f t="shared" ca="1" si="62"/>
        <v>3043334.3946473501</v>
      </c>
      <c r="Q70" s="139">
        <f t="shared" ca="1" si="62"/>
        <v>3367606.8877518764</v>
      </c>
      <c r="R70" s="139">
        <f t="shared" ca="1" si="62"/>
        <v>3363415.1670231386</v>
      </c>
      <c r="S70" s="139">
        <f t="shared" ca="1" si="62"/>
        <v>3357009.0454398021</v>
      </c>
      <c r="T70" s="139">
        <f t="shared" ca="1" si="62"/>
        <v>3352562.0489186849</v>
      </c>
      <c r="U70" s="139">
        <f t="shared" ca="1" si="62"/>
        <v>3347981.642501933</v>
      </c>
      <c r="V70" s="139">
        <f t="shared" ca="1" si="62"/>
        <v>3702309.739043287</v>
      </c>
      <c r="W70" s="139">
        <f t="shared" ca="1" si="62"/>
        <v>3697450.3858757569</v>
      </c>
      <c r="X70" s="139">
        <f t="shared" ca="1" si="62"/>
        <v>3692445.2521131989</v>
      </c>
      <c r="Y70" s="139">
        <f t="shared" ca="1" si="62"/>
        <v>3685116.9336760258</v>
      </c>
      <c r="Z70" s="139">
        <f t="shared" ca="1" si="62"/>
        <v>3679806.9872673275</v>
      </c>
    </row>
    <row r="71" spans="2:26" x14ac:dyDescent="0.35">
      <c r="B71" s="143" t="s">
        <v>257</v>
      </c>
      <c r="C71" s="141"/>
      <c r="D71" s="141"/>
      <c r="E71" s="141"/>
      <c r="F71" s="144" t="str">
        <f ca="1">+IFERROR(F70/F64,"")</f>
        <v/>
      </c>
      <c r="G71" s="144" t="str">
        <f t="shared" ref="G71:Z71" ca="1" si="63">+IFERROR(G70/G64,"")</f>
        <v/>
      </c>
      <c r="H71" s="144" t="str">
        <f t="shared" ca="1" si="63"/>
        <v/>
      </c>
      <c r="I71" s="145">
        <f t="shared" ca="1" si="63"/>
        <v>0.57085050337403787</v>
      </c>
      <c r="J71" s="145">
        <f t="shared" ca="1" si="63"/>
        <v>0.56425495596089492</v>
      </c>
      <c r="K71" s="145">
        <f t="shared" ca="1" si="63"/>
        <v>0.56006261064401131</v>
      </c>
      <c r="L71" s="145">
        <f t="shared" ca="1" si="63"/>
        <v>0.58095068664278193</v>
      </c>
      <c r="M71" s="145">
        <f t="shared" ca="1" si="63"/>
        <v>0.57436964841306459</v>
      </c>
      <c r="N71" s="145">
        <f t="shared" ca="1" si="63"/>
        <v>0.57007956417824068</v>
      </c>
      <c r="O71" s="145">
        <f t="shared" ca="1" si="63"/>
        <v>0.56571655748475758</v>
      </c>
      <c r="P71" s="145">
        <f t="shared" ca="1" si="63"/>
        <v>0.5590045834673053</v>
      </c>
      <c r="Q71" s="145">
        <f t="shared" ca="1" si="63"/>
        <v>0.57970516872251043</v>
      </c>
      <c r="R71" s="145">
        <f t="shared" ca="1" si="63"/>
        <v>0.575247867826298</v>
      </c>
      <c r="S71" s="145">
        <f t="shared" ca="1" si="63"/>
        <v>0.56854590476071576</v>
      </c>
      <c r="T71" s="145">
        <f t="shared" ca="1" si="63"/>
        <v>0.5639699863629648</v>
      </c>
      <c r="U71" s="145">
        <f t="shared" ca="1" si="63"/>
        <v>0.55932076370633543</v>
      </c>
      <c r="V71" s="145">
        <f t="shared" ca="1" si="63"/>
        <v>0.5777087467534272</v>
      </c>
      <c r="W71" s="145">
        <f t="shared" ca="1" si="63"/>
        <v>0.57303990511765135</v>
      </c>
      <c r="X71" s="145">
        <f t="shared" ca="1" si="63"/>
        <v>0.5682967071716899</v>
      </c>
      <c r="Y71" s="145">
        <f t="shared" ca="1" si="63"/>
        <v>0.56146935715924218</v>
      </c>
      <c r="Z71" s="145">
        <f t="shared" ca="1" si="63"/>
        <v>0.55660751423120702</v>
      </c>
    </row>
    <row r="72" spans="2:26" x14ac:dyDescent="0.35">
      <c r="B72" s="143" t="s">
        <v>191</v>
      </c>
      <c r="C72" s="141"/>
      <c r="D72" s="141"/>
      <c r="E72" s="141"/>
      <c r="F72" s="142">
        <f ca="1">+F70/Assumptions!$O$130</f>
        <v>0</v>
      </c>
      <c r="G72" s="142">
        <f ca="1">+G70/Assumptions!$O$130</f>
        <v>0</v>
      </c>
      <c r="H72" s="142">
        <f ca="1">+H70/Assumptions!$O$130</f>
        <v>0</v>
      </c>
      <c r="I72" s="142">
        <f ca="1">+I70/Assumptions!$O$130</f>
        <v>21355537.937821753</v>
      </c>
      <c r="J72" s="142">
        <f ca="1">+J70/Assumptions!$O$130</f>
        <v>42629888.739151612</v>
      </c>
      <c r="K72" s="142">
        <f ca="1">+K70/Assumptions!$O$130</f>
        <v>42577454.084652252</v>
      </c>
      <c r="L72" s="142">
        <f ca="1">+L70/Assumptions!$O$130</f>
        <v>47115643.941287145</v>
      </c>
      <c r="M72" s="142">
        <f ca="1">+M70/Assumptions!$O$130</f>
        <v>47029130.717290871</v>
      </c>
      <c r="N72" s="142">
        <f ca="1">+N70/Assumptions!$O$130</f>
        <v>46971833.954583749</v>
      </c>
      <c r="O72" s="142">
        <f ca="1">+O70/Assumptions!$O$130</f>
        <v>46912818.2889954</v>
      </c>
      <c r="P72" s="142">
        <f ca="1">+P70/Assumptions!$O$130</f>
        <v>46820529.148420766</v>
      </c>
      <c r="Q72" s="142">
        <f ca="1">+Q70/Assumptions!$O$130</f>
        <v>51809336.734644249</v>
      </c>
      <c r="R72" s="142">
        <f ca="1">+R70/Assumptions!$O$130</f>
        <v>51744848.723432899</v>
      </c>
      <c r="S72" s="142">
        <f ca="1">+S70/Assumptions!$O$130</f>
        <v>51646293.006766185</v>
      </c>
      <c r="T72" s="142">
        <f ca="1">+T70/Assumptions!$O$130</f>
        <v>51577877.675672077</v>
      </c>
      <c r="U72" s="142">
        <f ca="1">+U70/Assumptions!$O$130</f>
        <v>51507409.884645119</v>
      </c>
      <c r="V72" s="142">
        <f ca="1">+V70/Assumptions!$O$130</f>
        <v>56958611.369896725</v>
      </c>
      <c r="W72" s="142">
        <f ca="1">+W70/Assumptions!$O$130</f>
        <v>56883852.090396255</v>
      </c>
      <c r="X72" s="142">
        <f ca="1">+X70/Assumptions!$O$130</f>
        <v>56806850.03251075</v>
      </c>
      <c r="Y72" s="142">
        <f ca="1">+Y70/Assumptions!$O$130</f>
        <v>56694106.671938859</v>
      </c>
      <c r="Z72" s="142">
        <f ca="1">+Z70/Assumptions!$O$130</f>
        <v>56612415.188728116</v>
      </c>
    </row>
    <row r="74" spans="2:26" x14ac:dyDescent="0.35">
      <c r="B74" s="148" t="s">
        <v>147</v>
      </c>
      <c r="C74" s="149"/>
      <c r="D74" s="149"/>
      <c r="E74" s="149"/>
      <c r="F74" s="150">
        <f>+Assumptions!$G$22</f>
        <v>44926</v>
      </c>
      <c r="G74" s="150">
        <f>+EOMONTH(F74,12)</f>
        <v>45291</v>
      </c>
      <c r="H74" s="150">
        <f t="shared" ref="H74:Z74" si="64">+EOMONTH(G74,12)</f>
        <v>45657</v>
      </c>
      <c r="I74" s="150">
        <f t="shared" si="64"/>
        <v>46022</v>
      </c>
      <c r="J74" s="150">
        <f t="shared" si="64"/>
        <v>46387</v>
      </c>
      <c r="K74" s="150">
        <f t="shared" si="64"/>
        <v>46752</v>
      </c>
      <c r="L74" s="150">
        <f t="shared" si="64"/>
        <v>47118</v>
      </c>
      <c r="M74" s="150">
        <f t="shared" si="64"/>
        <v>47483</v>
      </c>
      <c r="N74" s="150">
        <f t="shared" si="64"/>
        <v>47848</v>
      </c>
      <c r="O74" s="150">
        <f t="shared" si="64"/>
        <v>48213</v>
      </c>
      <c r="P74" s="150">
        <f t="shared" si="64"/>
        <v>48579</v>
      </c>
      <c r="Q74" s="150">
        <f t="shared" si="64"/>
        <v>48944</v>
      </c>
      <c r="R74" s="150">
        <f t="shared" si="64"/>
        <v>49309</v>
      </c>
      <c r="S74" s="150">
        <f t="shared" si="64"/>
        <v>49674</v>
      </c>
      <c r="T74" s="150">
        <f t="shared" si="64"/>
        <v>50040</v>
      </c>
      <c r="U74" s="150">
        <f t="shared" si="64"/>
        <v>50405</v>
      </c>
      <c r="V74" s="150">
        <f t="shared" si="64"/>
        <v>50770</v>
      </c>
      <c r="W74" s="150">
        <f t="shared" si="64"/>
        <v>51135</v>
      </c>
      <c r="X74" s="150">
        <f t="shared" si="64"/>
        <v>51501</v>
      </c>
      <c r="Y74" s="150">
        <f t="shared" si="64"/>
        <v>51866</v>
      </c>
      <c r="Z74" s="150">
        <f t="shared" si="64"/>
        <v>52231</v>
      </c>
    </row>
    <row r="75" spans="2:26" x14ac:dyDescent="0.35">
      <c r="B75" s="33" t="s">
        <v>766</v>
      </c>
      <c r="C75" s="33"/>
      <c r="D75" s="40"/>
      <c r="E75" s="40"/>
      <c r="F75" s="42">
        <f>+IF(AND(F74&gt;=Assumptions!$G$26,F74&lt;Assumptions!$G$28),Assumptions!$G$154/ROUNDUP((Assumptions!$G$27/12),0),0)</f>
        <v>0</v>
      </c>
      <c r="G75" s="42">
        <f>+IF(AND(G74&gt;=Assumptions!$G$26,G74&lt;Assumptions!$G$28),Assumptions!$G$154/ROUNDUP((Assumptions!$G$27/12),0),0)</f>
        <v>0</v>
      </c>
      <c r="H75" s="42">
        <f>+IF(AND(H74&gt;=Assumptions!$G$26,H74&lt;Assumptions!$G$28),Assumptions!$G$154/ROUNDUP((Assumptions!$G$27/12),0),0)</f>
        <v>0</v>
      </c>
      <c r="I75" s="42">
        <f>+IF(AND(I74&gt;=Assumptions!$G$26,I74&lt;Assumptions!$G$28),Assumptions!$G$154/ROUNDUP((Assumptions!$G$27/12),0),0)</f>
        <v>5.0000000000000002E-5</v>
      </c>
      <c r="J75" s="42">
        <f>+IF(AND(J74&gt;=Assumptions!$G$26,J74&lt;Assumptions!$G$28),Assumptions!$G$154/ROUNDUP((Assumptions!$G$27/12),0),0)</f>
        <v>5.0000000000000002E-5</v>
      </c>
      <c r="K75" s="42">
        <f>+IF(AND(K74&gt;=Assumptions!$G$26,K74&lt;Assumptions!$G$28),Assumptions!$G$154/ROUNDUP((Assumptions!$G$27/12),0),0)</f>
        <v>0</v>
      </c>
      <c r="L75" s="42">
        <f>+IF(AND(L74&gt;=Assumptions!$G$26,L74&lt;Assumptions!$G$28),Assumptions!$G$154/ROUNDUP((Assumptions!$G$27/12),0),0)</f>
        <v>0</v>
      </c>
      <c r="M75" s="42">
        <f>+IF(AND(M74&gt;=Assumptions!$G$26,M74&lt;Assumptions!$G$28),Assumptions!$G$154/ROUNDUP((Assumptions!$G$27/12),0),0)</f>
        <v>0</v>
      </c>
      <c r="N75" s="42">
        <f>+IF(AND(N74&gt;=Assumptions!$G$26,N74&lt;Assumptions!$G$28),Assumptions!$G$154/ROUNDUP((Assumptions!$G$27/12),0),0)</f>
        <v>0</v>
      </c>
      <c r="O75" s="42">
        <f>+IF(AND(O74&gt;=Assumptions!$G$26,O74&lt;Assumptions!$G$28),Assumptions!$G$154/ROUNDUP((Assumptions!$G$27/12),0),0)</f>
        <v>0</v>
      </c>
      <c r="P75" s="42">
        <f>+IF(AND(P74&gt;=Assumptions!$G$26,P74&lt;Assumptions!$G$28),Assumptions!$G$154/ROUNDUP((Assumptions!$G$27/12),0),0)</f>
        <v>0</v>
      </c>
      <c r="Q75" s="42">
        <f>+IF(AND(Q74&gt;=Assumptions!$G$26,Q74&lt;Assumptions!$G$28),Assumptions!$G$154/ROUNDUP((Assumptions!$G$27/12),0),0)</f>
        <v>0</v>
      </c>
      <c r="R75" s="42">
        <f>+IF(AND(R74&gt;=Assumptions!$G$26,R74&lt;Assumptions!$G$28),Assumptions!$G$154/ROUNDUP((Assumptions!$G$27/12),0),0)</f>
        <v>0</v>
      </c>
      <c r="S75" s="42">
        <f>+IF(AND(S74&gt;=Assumptions!$G$26,S74&lt;Assumptions!$G$28),Assumptions!$G$154/ROUNDUP((Assumptions!$G$27/12),0),0)</f>
        <v>0</v>
      </c>
      <c r="T75" s="42">
        <f>+IF(AND(T74&gt;=Assumptions!$G$26,T74&lt;Assumptions!$G$28),Assumptions!$G$154/ROUNDUP((Assumptions!$G$27/12),0),0)</f>
        <v>0</v>
      </c>
      <c r="U75" s="42">
        <f>+IF(AND(U74&gt;=Assumptions!$G$26,U74&lt;Assumptions!$G$28),Assumptions!$G$154/ROUNDUP((Assumptions!$G$27/12),0),0)</f>
        <v>0</v>
      </c>
      <c r="V75" s="42">
        <f>+IF(AND(V74&gt;=Assumptions!$G$26,V74&lt;Assumptions!$G$28),Assumptions!$G$154/ROUNDUP((Assumptions!$G$27/12),0),0)</f>
        <v>0</v>
      </c>
      <c r="W75" s="42">
        <f>+IF(AND(W74&gt;=Assumptions!$G$26,W74&lt;Assumptions!$G$28),Assumptions!$G$154/ROUNDUP((Assumptions!$G$27/12),0),0)</f>
        <v>0</v>
      </c>
      <c r="X75" s="42">
        <f>+IF(AND(X74&gt;=Assumptions!$G$26,X74&lt;Assumptions!$G$28),Assumptions!$G$154/ROUNDUP((Assumptions!$G$27/12),0),0)</f>
        <v>0</v>
      </c>
      <c r="Y75" s="42">
        <f>+IF(AND(Y74&gt;=Assumptions!$G$26,Y74&lt;Assumptions!$G$28),Assumptions!$G$154/ROUNDUP((Assumptions!$G$27/12),0),0)</f>
        <v>0</v>
      </c>
      <c r="Z75" s="42">
        <f>+IF(AND(Z74&gt;=Assumptions!$G$26,Z74&lt;Assumptions!$G$28),Assumptions!$G$154/ROUNDUP((Assumptions!$G$27/12),0),0)</f>
        <v>0</v>
      </c>
    </row>
    <row r="76" spans="2:26" x14ac:dyDescent="0.35">
      <c r="B76" s="33" t="s">
        <v>249</v>
      </c>
      <c r="C76" s="33"/>
      <c r="D76" s="42">
        <v>0</v>
      </c>
      <c r="E76" s="42"/>
      <c r="F76" s="42">
        <f>+D76+F75</f>
        <v>0</v>
      </c>
      <c r="G76" s="42">
        <f t="shared" ref="G76:Z76" si="65">+F76+G75</f>
        <v>0</v>
      </c>
      <c r="H76" s="42">
        <f t="shared" si="65"/>
        <v>0</v>
      </c>
      <c r="I76" s="42">
        <f t="shared" si="65"/>
        <v>5.0000000000000002E-5</v>
      </c>
      <c r="J76" s="42">
        <f t="shared" si="65"/>
        <v>1E-4</v>
      </c>
      <c r="K76" s="42">
        <f t="shared" si="65"/>
        <v>1E-4</v>
      </c>
      <c r="L76" s="42">
        <f t="shared" si="65"/>
        <v>1E-4</v>
      </c>
      <c r="M76" s="42">
        <f t="shared" si="65"/>
        <v>1E-4</v>
      </c>
      <c r="N76" s="42">
        <f t="shared" si="65"/>
        <v>1E-4</v>
      </c>
      <c r="O76" s="42">
        <f t="shared" si="65"/>
        <v>1E-4</v>
      </c>
      <c r="P76" s="42">
        <f t="shared" si="65"/>
        <v>1E-4</v>
      </c>
      <c r="Q76" s="42">
        <f t="shared" si="65"/>
        <v>1E-4</v>
      </c>
      <c r="R76" s="42">
        <f t="shared" si="65"/>
        <v>1E-4</v>
      </c>
      <c r="S76" s="42">
        <f t="shared" si="65"/>
        <v>1E-4</v>
      </c>
      <c r="T76" s="42">
        <f t="shared" si="65"/>
        <v>1E-4</v>
      </c>
      <c r="U76" s="42">
        <f t="shared" si="65"/>
        <v>1E-4</v>
      </c>
      <c r="V76" s="42">
        <f t="shared" si="65"/>
        <v>1E-4</v>
      </c>
      <c r="W76" s="42">
        <f t="shared" si="65"/>
        <v>1E-4</v>
      </c>
      <c r="X76" s="42">
        <f t="shared" si="65"/>
        <v>1E-4</v>
      </c>
      <c r="Y76" s="42">
        <f t="shared" si="65"/>
        <v>1E-4</v>
      </c>
      <c r="Z76" s="42">
        <f t="shared" si="65"/>
        <v>1E-4</v>
      </c>
    </row>
    <row r="77" spans="2:26" x14ac:dyDescent="0.35">
      <c r="B77" s="33" t="s">
        <v>306</v>
      </c>
      <c r="C77" s="33"/>
      <c r="D77" s="42"/>
      <c r="E77" s="42"/>
      <c r="F77" s="108">
        <f t="shared" ref="F77:Z77" si="66">+F76/SUM($F75:$Z75)</f>
        <v>0</v>
      </c>
      <c r="G77" s="108">
        <f t="shared" si="66"/>
        <v>0</v>
      </c>
      <c r="H77" s="108">
        <f t="shared" si="66"/>
        <v>0</v>
      </c>
      <c r="I77" s="108">
        <f t="shared" si="66"/>
        <v>0.5</v>
      </c>
      <c r="J77" s="108">
        <f t="shared" si="66"/>
        <v>1</v>
      </c>
      <c r="K77" s="108">
        <f t="shared" si="66"/>
        <v>1</v>
      </c>
      <c r="L77" s="108">
        <f t="shared" si="66"/>
        <v>1</v>
      </c>
      <c r="M77" s="108">
        <f t="shared" si="66"/>
        <v>1</v>
      </c>
      <c r="N77" s="108">
        <f t="shared" si="66"/>
        <v>1</v>
      </c>
      <c r="O77" s="108">
        <f t="shared" si="66"/>
        <v>1</v>
      </c>
      <c r="P77" s="108">
        <f t="shared" si="66"/>
        <v>1</v>
      </c>
      <c r="Q77" s="108">
        <f t="shared" si="66"/>
        <v>1</v>
      </c>
      <c r="R77" s="108">
        <f t="shared" si="66"/>
        <v>1</v>
      </c>
      <c r="S77" s="108">
        <f t="shared" si="66"/>
        <v>1</v>
      </c>
      <c r="T77" s="108">
        <f t="shared" si="66"/>
        <v>1</v>
      </c>
      <c r="U77" s="108">
        <f t="shared" si="66"/>
        <v>1</v>
      </c>
      <c r="V77" s="108">
        <f t="shared" si="66"/>
        <v>1</v>
      </c>
      <c r="W77" s="108">
        <f t="shared" si="66"/>
        <v>1</v>
      </c>
      <c r="X77" s="108">
        <f t="shared" si="66"/>
        <v>1</v>
      </c>
      <c r="Y77" s="108">
        <f t="shared" si="66"/>
        <v>1</v>
      </c>
      <c r="Z77" s="108">
        <f t="shared" si="66"/>
        <v>1</v>
      </c>
    </row>
    <row r="78" spans="2:26" x14ac:dyDescent="0.35">
      <c r="B78" s="33"/>
      <c r="C78" s="33"/>
      <c r="D78" s="40"/>
      <c r="E78" s="40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2:26" x14ac:dyDescent="0.35">
      <c r="B79" s="33" t="s">
        <v>254</v>
      </c>
      <c r="C79" s="33"/>
      <c r="D79" s="42"/>
      <c r="E79" s="42"/>
      <c r="F79" s="108">
        <v>1</v>
      </c>
      <c r="G79" s="108">
        <f>+IF(MOD(G$2,Assumptions!$O$69)=(Assumptions!$O$69-1),F79*(1+Assumptions!$O$68),'Phase II Pro Forma'!F79)</f>
        <v>1</v>
      </c>
      <c r="H79" s="108">
        <f>+IF(MOD(H$2,Assumptions!$O$69)=(Assumptions!$O$69-1),G79*(1+Assumptions!$O$68),'Phase II Pro Forma'!G79)</f>
        <v>1</v>
      </c>
      <c r="I79" s="108">
        <f>+IF(MOD(I$2,Assumptions!$O$69)=(Assumptions!$O$69-1),H79*(1+Assumptions!$O$68),'Phase II Pro Forma'!H79)</f>
        <v>1</v>
      </c>
      <c r="J79" s="108">
        <f>+IF(MOD(J$2,Assumptions!$O$69)=(Assumptions!$O$69-1),I79*(1+Assumptions!$O$68),'Phase II Pro Forma'!I79)</f>
        <v>1</v>
      </c>
      <c r="K79" s="108">
        <f>+IF(MOD(K$2,Assumptions!$O$69)=(Assumptions!$O$69-1),J79*(1+Assumptions!$O$68),'Phase II Pro Forma'!J79)</f>
        <v>1</v>
      </c>
      <c r="L79" s="108">
        <f>+IF(MOD(L$2,Assumptions!$O$69)=(Assumptions!$O$69-1),K79*(1+Assumptions!$O$68),'Phase II Pro Forma'!K79)</f>
        <v>1.05</v>
      </c>
      <c r="M79" s="108">
        <f>+IF(MOD(M$2,Assumptions!$O$69)=(Assumptions!$O$69-1),L79*(1+Assumptions!$O$68),'Phase II Pro Forma'!L79)</f>
        <v>1.05</v>
      </c>
      <c r="N79" s="108">
        <f>+IF(MOD(N$2,Assumptions!$O$69)=(Assumptions!$O$69-1),M79*(1+Assumptions!$O$68),'Phase II Pro Forma'!M79)</f>
        <v>1.05</v>
      </c>
      <c r="O79" s="108">
        <f>+IF(MOD(O$2,Assumptions!$O$69)=(Assumptions!$O$69-1),N79*(1+Assumptions!$O$68),'Phase II Pro Forma'!N79)</f>
        <v>1.05</v>
      </c>
      <c r="P79" s="108">
        <f>+IF(MOD(P$2,Assumptions!$O$69)=(Assumptions!$O$69-1),O79*(1+Assumptions!$O$68),'Phase II Pro Forma'!O79)</f>
        <v>1.05</v>
      </c>
      <c r="Q79" s="108">
        <f>+IF(MOD(Q$2,Assumptions!$O$69)=(Assumptions!$O$69-1),P79*(1+Assumptions!$O$68),'Phase II Pro Forma'!P79)</f>
        <v>1.1025</v>
      </c>
      <c r="R79" s="108">
        <f>+IF(MOD(R$2,Assumptions!$O$69)=(Assumptions!$O$69-1),Q79*(1+Assumptions!$O$68),'Phase II Pro Forma'!Q79)</f>
        <v>1.1025</v>
      </c>
      <c r="S79" s="108">
        <f>+IF(MOD(S$2,Assumptions!$O$69)=(Assumptions!$O$69-1),R79*(1+Assumptions!$O$68),'Phase II Pro Forma'!R79)</f>
        <v>1.1025</v>
      </c>
      <c r="T79" s="108">
        <f>+IF(MOD(T$2,Assumptions!$O$69)=(Assumptions!$O$69-1),S79*(1+Assumptions!$O$68),'Phase II Pro Forma'!S79)</f>
        <v>1.1025</v>
      </c>
      <c r="U79" s="108">
        <f>+IF(MOD(U$2,Assumptions!$O$69)=(Assumptions!$O$69-1),T79*(1+Assumptions!$O$68),'Phase II Pro Forma'!T79)</f>
        <v>1.1025</v>
      </c>
      <c r="V79" s="108">
        <f>+IF(MOD(V$2,Assumptions!$O$69)=(Assumptions!$O$69-1),U79*(1+Assumptions!$O$68),'Phase II Pro Forma'!U79)</f>
        <v>1.1576250000000001</v>
      </c>
      <c r="W79" s="108">
        <f>+IF(MOD(W$2,Assumptions!$O$69)=(Assumptions!$O$69-1),V79*(1+Assumptions!$O$68),'Phase II Pro Forma'!V79)</f>
        <v>1.1576250000000001</v>
      </c>
      <c r="X79" s="108">
        <f>+IF(MOD(X$2,Assumptions!$O$69)=(Assumptions!$O$69-1),W79*(1+Assumptions!$O$68),'Phase II Pro Forma'!W79)</f>
        <v>1.1576250000000001</v>
      </c>
      <c r="Y79" s="108">
        <f>+IF(MOD(Y$2,Assumptions!$O$69)=(Assumptions!$O$69-1),X79*(1+Assumptions!$O$68),'Phase II Pro Forma'!X79)</f>
        <v>1.1576250000000001</v>
      </c>
      <c r="Z79" s="108">
        <f>+IF(MOD(Z$2,Assumptions!$O$69)=(Assumptions!$O$69-1),Y79*(1+Assumptions!$O$68),'Phase II Pro Forma'!Y79)</f>
        <v>1.1576250000000001</v>
      </c>
    </row>
    <row r="80" spans="2:26" x14ac:dyDescent="0.35">
      <c r="B80" s="33" t="s">
        <v>255</v>
      </c>
      <c r="C80" s="33"/>
      <c r="D80" s="42"/>
      <c r="E80" s="42"/>
      <c r="F80" s="108">
        <v>1</v>
      </c>
      <c r="G80" s="108">
        <f>+F80*(1+Assumptions!$O$79)</f>
        <v>1.03</v>
      </c>
      <c r="H80" s="108">
        <f>+G80*(1+Assumptions!$O$79)</f>
        <v>1.0609</v>
      </c>
      <c r="I80" s="108">
        <f>+H80*(1+Assumptions!$O$79)</f>
        <v>1.092727</v>
      </c>
      <c r="J80" s="108">
        <f>+I80*(1+Assumptions!$O$79)</f>
        <v>1.1255088100000001</v>
      </c>
      <c r="K80" s="108">
        <f>+J80*(1+Assumptions!$O$79)</f>
        <v>1.1592740743000001</v>
      </c>
      <c r="L80" s="108">
        <f>+K80*(1+Assumptions!$O$79)</f>
        <v>1.1940522965290001</v>
      </c>
      <c r="M80" s="108">
        <f>+L80*(1+Assumptions!$O$79)</f>
        <v>1.2298738654248702</v>
      </c>
      <c r="N80" s="108">
        <f>+M80*(1+Assumptions!$O$79)</f>
        <v>1.2667700813876164</v>
      </c>
      <c r="O80" s="108">
        <f>+N80*(1+Assumptions!$O$79)</f>
        <v>1.3047731838292449</v>
      </c>
      <c r="P80" s="108">
        <f>+O80*(1+Assumptions!$O$79)</f>
        <v>1.3439163793441222</v>
      </c>
      <c r="Q80" s="108">
        <f>+P80*(1+Assumptions!$O$79)</f>
        <v>1.3842338707244459</v>
      </c>
      <c r="R80" s="108">
        <f>+Q80*(1+Assumptions!$O$79)</f>
        <v>1.4257608868461793</v>
      </c>
      <c r="S80" s="108">
        <f>+R80*(1+Assumptions!$O$79)</f>
        <v>1.4685337134515648</v>
      </c>
      <c r="T80" s="108">
        <f>+S80*(1+Assumptions!$O$79)</f>
        <v>1.5125897248551119</v>
      </c>
      <c r="U80" s="108">
        <f>+T80*(1+Assumptions!$O$79)</f>
        <v>1.5579674166007653</v>
      </c>
      <c r="V80" s="108">
        <f>+U80*(1+Assumptions!$O$79)</f>
        <v>1.6047064390987884</v>
      </c>
      <c r="W80" s="108">
        <f>+V80*(1+Assumptions!$O$79)</f>
        <v>1.652847632271752</v>
      </c>
      <c r="X80" s="108">
        <f>+W80*(1+Assumptions!$O$79)</f>
        <v>1.7024330612399046</v>
      </c>
      <c r="Y80" s="108">
        <f>+X80*(1+Assumptions!$O$79)</f>
        <v>1.7535060530771018</v>
      </c>
      <c r="Z80" s="108">
        <f>+Y80*(1+Assumptions!$O$79)</f>
        <v>1.806111234669415</v>
      </c>
    </row>
    <row r="81" spans="2:26" x14ac:dyDescent="0.35">
      <c r="B81" s="33"/>
      <c r="C81" s="33"/>
      <c r="D81" s="40"/>
      <c r="E81" s="40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2:26" x14ac:dyDescent="0.35">
      <c r="B82" s="33" t="s">
        <v>246</v>
      </c>
      <c r="C82" s="33"/>
      <c r="D82" s="40"/>
      <c r="E82" s="40"/>
      <c r="F82" s="34">
        <f>+F77*Assumptions!$G$153*F79</f>
        <v>0</v>
      </c>
      <c r="G82" s="34">
        <f>+G77*Assumptions!$G$153*G79</f>
        <v>0</v>
      </c>
      <c r="H82" s="34">
        <f>+H77*Assumptions!$G$153*H79</f>
        <v>0</v>
      </c>
      <c r="I82" s="34">
        <f>+I77*Assumptions!$G$153*I79</f>
        <v>0</v>
      </c>
      <c r="J82" s="34">
        <f>+J77*Assumptions!$G$153*J79</f>
        <v>0</v>
      </c>
      <c r="K82" s="34">
        <f>+K77*Assumptions!$G$153*K79</f>
        <v>0</v>
      </c>
      <c r="L82" s="34">
        <f>+L77*Assumptions!$G$153*L79</f>
        <v>0</v>
      </c>
      <c r="M82" s="34">
        <f>+M77*Assumptions!$G$153*M79</f>
        <v>0</v>
      </c>
      <c r="N82" s="34">
        <f>+N77*Assumptions!$G$153*N79</f>
        <v>0</v>
      </c>
      <c r="O82" s="34">
        <f>+O77*Assumptions!$G$153*O79</f>
        <v>0</v>
      </c>
      <c r="P82" s="34">
        <f>+P77*Assumptions!$G$153*P79</f>
        <v>0</v>
      </c>
      <c r="Q82" s="34">
        <f>+Q77*Assumptions!$G$153*Q79</f>
        <v>0</v>
      </c>
      <c r="R82" s="34">
        <f>+R77*Assumptions!$G$153*R79</f>
        <v>0</v>
      </c>
      <c r="S82" s="34">
        <f>+S77*Assumptions!$G$153*S79</f>
        <v>0</v>
      </c>
      <c r="T82" s="34">
        <f>+T77*Assumptions!$G$153*T79</f>
        <v>0</v>
      </c>
      <c r="U82" s="34">
        <f>+U77*Assumptions!$G$153*U79</f>
        <v>0</v>
      </c>
      <c r="V82" s="34">
        <f>+V77*Assumptions!$G$153*V79</f>
        <v>0</v>
      </c>
      <c r="W82" s="34">
        <f>+W77*Assumptions!$G$153*W79</f>
        <v>0</v>
      </c>
      <c r="X82" s="34">
        <f>+X77*Assumptions!$G$153*X79</f>
        <v>0</v>
      </c>
      <c r="Y82" s="34">
        <f>+Y77*Assumptions!$G$153*Y79</f>
        <v>0</v>
      </c>
      <c r="Z82" s="34">
        <f>+Z77*Assumptions!$G$153*Z79</f>
        <v>0</v>
      </c>
    </row>
    <row r="83" spans="2:26" x14ac:dyDescent="0.35">
      <c r="B83" s="33" t="s">
        <v>247</v>
      </c>
      <c r="C83" s="33"/>
      <c r="D83" s="40"/>
      <c r="E83" s="40"/>
      <c r="F83" s="42">
        <f>-F82*Assumptions!$O$57</f>
        <v>0</v>
      </c>
      <c r="G83" s="42">
        <f>-G82*Assumptions!$O$57</f>
        <v>0</v>
      </c>
      <c r="H83" s="42">
        <f>-H82*Assumptions!$O$57</f>
        <v>0</v>
      </c>
      <c r="I83" s="42">
        <f>-I82*Assumptions!$O$57</f>
        <v>0</v>
      </c>
      <c r="J83" s="42">
        <f>-J82*Assumptions!$O$57</f>
        <v>0</v>
      </c>
      <c r="K83" s="42">
        <f>-K82*Assumptions!$O$57</f>
        <v>0</v>
      </c>
      <c r="L83" s="42">
        <f>-L82*Assumptions!$O$57</f>
        <v>0</v>
      </c>
      <c r="M83" s="42">
        <f>-M82*Assumptions!$O$57</f>
        <v>0</v>
      </c>
      <c r="N83" s="42">
        <f>-N82*Assumptions!$O$57</f>
        <v>0</v>
      </c>
      <c r="O83" s="42">
        <f>-O82*Assumptions!$O$57</f>
        <v>0</v>
      </c>
      <c r="P83" s="42">
        <f>-P82*Assumptions!$O$57</f>
        <v>0</v>
      </c>
      <c r="Q83" s="42">
        <f>-Q82*Assumptions!$O$57</f>
        <v>0</v>
      </c>
      <c r="R83" s="42">
        <f>-R82*Assumptions!$O$57</f>
        <v>0</v>
      </c>
      <c r="S83" s="42">
        <f>-S82*Assumptions!$O$57</f>
        <v>0</v>
      </c>
      <c r="T83" s="42">
        <f>-T82*Assumptions!$O$57</f>
        <v>0</v>
      </c>
      <c r="U83" s="42">
        <f>-U82*Assumptions!$O$57</f>
        <v>0</v>
      </c>
      <c r="V83" s="42">
        <f>-V82*Assumptions!$O$57</f>
        <v>0</v>
      </c>
      <c r="W83" s="42">
        <f>-W82*Assumptions!$O$57</f>
        <v>0</v>
      </c>
      <c r="X83" s="42">
        <f>-X82*Assumptions!$O$57</f>
        <v>0</v>
      </c>
      <c r="Y83" s="42">
        <f>-Y82*Assumptions!$O$57</f>
        <v>0</v>
      </c>
      <c r="Z83" s="42">
        <f>-Z82*Assumptions!$O$57</f>
        <v>0</v>
      </c>
    </row>
    <row r="84" spans="2:26" x14ac:dyDescent="0.35">
      <c r="B84" s="33" t="s">
        <v>262</v>
      </c>
      <c r="C84" s="33"/>
      <c r="D84" s="40"/>
      <c r="E84" s="40"/>
      <c r="F84" s="151">
        <f ca="1">+F89*Assumptions!$O$90</f>
        <v>0</v>
      </c>
      <c r="G84" s="151">
        <f ca="1">+G89*Assumptions!$O$90</f>
        <v>0</v>
      </c>
      <c r="H84" s="151">
        <f ca="1">+H89*Assumptions!$O$90</f>
        <v>0</v>
      </c>
      <c r="I84" s="151">
        <f ca="1">+I89*Assumptions!$O$90</f>
        <v>3.9790560977999998E-4</v>
      </c>
      <c r="J84" s="151">
        <f ca="1">+J89*Assumptions!$O$90</f>
        <v>8.1968555614680006E-4</v>
      </c>
      <c r="K84" s="151">
        <f ca="1">+K89*Assumptions!$O$90</f>
        <v>8.4427612283120401E-4</v>
      </c>
      <c r="L84" s="151">
        <f ca="1">+L89*Assumptions!$O$90</f>
        <v>8.6960440651614025E-4</v>
      </c>
      <c r="M84" s="151">
        <f ca="1">+M89*Assumptions!$O$90</f>
        <v>8.9569253871162448E-4</v>
      </c>
      <c r="N84" s="151">
        <f ca="1">+N89*Assumptions!$O$90</f>
        <v>9.2256331487297323E-4</v>
      </c>
      <c r="O84" s="151">
        <f ca="1">+O89*Assumptions!$O$90</f>
        <v>9.5024021431916244E-4</v>
      </c>
      <c r="P84" s="151">
        <f ca="1">+P89*Assumptions!$O$90</f>
        <v>9.7874742074873736E-4</v>
      </c>
      <c r="Q84" s="151">
        <f ca="1">+Q89*Assumptions!$O$90</f>
        <v>1.0081098433711994E-3</v>
      </c>
      <c r="R84" s="151">
        <f ca="1">+R89*Assumptions!$O$90</f>
        <v>1.0383531386723354E-3</v>
      </c>
      <c r="S84" s="151">
        <f ca="1">+S89*Assumptions!$O$90</f>
        <v>1.0695037328325057E-3</v>
      </c>
      <c r="T84" s="151">
        <f ca="1">+T89*Assumptions!$O$90</f>
        <v>1.1015888448174809E-3</v>
      </c>
      <c r="U84" s="151">
        <f ca="1">+U89*Assumptions!$O$90</f>
        <v>1.1346365101620054E-3</v>
      </c>
      <c r="V84" s="151">
        <f ca="1">+V89*Assumptions!$O$90</f>
        <v>1.1686756054668655E-3</v>
      </c>
      <c r="W84" s="151">
        <f ca="1">+W89*Assumptions!$O$90</f>
        <v>1.2037358736308715E-3</v>
      </c>
      <c r="X84" s="151">
        <f ca="1">+X89*Assumptions!$O$90</f>
        <v>1.2398479498397976E-3</v>
      </c>
      <c r="Y84" s="151">
        <f ca="1">+Y89*Assumptions!$O$90</f>
        <v>1.2770433883349916E-3</v>
      </c>
      <c r="Z84" s="151">
        <f ca="1">+Z89*Assumptions!$O$90</f>
        <v>1.3153546899850415E-3</v>
      </c>
    </row>
    <row r="85" spans="2:26" x14ac:dyDescent="0.35">
      <c r="B85" s="137" t="s">
        <v>256</v>
      </c>
      <c r="C85" s="137"/>
      <c r="D85" s="137"/>
      <c r="E85" s="137"/>
      <c r="F85" s="129">
        <f t="shared" ref="F85:Z85" ca="1" si="67">+SUM(F82:F84)</f>
        <v>0</v>
      </c>
      <c r="G85" s="129">
        <f t="shared" ca="1" si="67"/>
        <v>0</v>
      </c>
      <c r="H85" s="129">
        <f t="shared" ca="1" si="67"/>
        <v>0</v>
      </c>
      <c r="I85" s="129">
        <f t="shared" ca="1" si="67"/>
        <v>3.9790560977999998E-4</v>
      </c>
      <c r="J85" s="129">
        <f t="shared" ca="1" si="67"/>
        <v>8.1968555614680006E-4</v>
      </c>
      <c r="K85" s="129">
        <f t="shared" ca="1" si="67"/>
        <v>8.4427612283120401E-4</v>
      </c>
      <c r="L85" s="129">
        <f t="shared" ca="1" si="67"/>
        <v>8.6960440651614025E-4</v>
      </c>
      <c r="M85" s="129">
        <f t="shared" ca="1" si="67"/>
        <v>8.9569253871162448E-4</v>
      </c>
      <c r="N85" s="129">
        <f t="shared" ca="1" si="67"/>
        <v>9.2256331487297323E-4</v>
      </c>
      <c r="O85" s="129">
        <f t="shared" ca="1" si="67"/>
        <v>9.5024021431916244E-4</v>
      </c>
      <c r="P85" s="129">
        <f t="shared" ca="1" si="67"/>
        <v>9.7874742074873736E-4</v>
      </c>
      <c r="Q85" s="129">
        <f t="shared" ca="1" si="67"/>
        <v>1.0081098433711994E-3</v>
      </c>
      <c r="R85" s="129">
        <f t="shared" ca="1" si="67"/>
        <v>1.0383531386723354E-3</v>
      </c>
      <c r="S85" s="129">
        <f t="shared" ca="1" si="67"/>
        <v>1.0695037328325057E-3</v>
      </c>
      <c r="T85" s="129">
        <f t="shared" ca="1" si="67"/>
        <v>1.1015888448174809E-3</v>
      </c>
      <c r="U85" s="129">
        <f t="shared" ca="1" si="67"/>
        <v>1.1346365101620054E-3</v>
      </c>
      <c r="V85" s="129">
        <f t="shared" ca="1" si="67"/>
        <v>1.1686756054668655E-3</v>
      </c>
      <c r="W85" s="129">
        <f t="shared" ca="1" si="67"/>
        <v>1.2037358736308715E-3</v>
      </c>
      <c r="X85" s="129">
        <f t="shared" ca="1" si="67"/>
        <v>1.2398479498397976E-3</v>
      </c>
      <c r="Y85" s="129">
        <f t="shared" ca="1" si="67"/>
        <v>1.2770433883349916E-3</v>
      </c>
      <c r="Z85" s="129">
        <f t="shared" ca="1" si="67"/>
        <v>1.3153546899850415E-3</v>
      </c>
    </row>
    <row r="87" spans="2:26" x14ac:dyDescent="0.35">
      <c r="B87" s="33" t="s">
        <v>395</v>
      </c>
      <c r="F87" s="34">
        <f>+F76*Assumptions!$O$122*'Phase II Pro Forma'!F80</f>
        <v>0</v>
      </c>
      <c r="G87" s="34">
        <f>+G76*Assumptions!$O$122*'Phase II Pro Forma'!G80</f>
        <v>0</v>
      </c>
      <c r="H87" s="34">
        <f>+H76*Assumptions!$O$122*'Phase II Pro Forma'!H80</f>
        <v>0</v>
      </c>
      <c r="I87" s="34">
        <f>+I76*Assumptions!$O$122*'Phase II Pro Forma'!I80</f>
        <v>3.9790560977999998E-4</v>
      </c>
      <c r="J87" s="34">
        <f>+J76*Assumptions!$O$122*'Phase II Pro Forma'!J80</f>
        <v>8.1968555614680006E-4</v>
      </c>
      <c r="K87" s="34">
        <f>+K76*Assumptions!$O$122*'Phase II Pro Forma'!K80</f>
        <v>8.4427612283120401E-4</v>
      </c>
      <c r="L87" s="34">
        <f>+L76*Assumptions!$O$122*'Phase II Pro Forma'!L80</f>
        <v>8.6960440651614025E-4</v>
      </c>
      <c r="M87" s="34">
        <f>+M76*Assumptions!$O$122*'Phase II Pro Forma'!M80</f>
        <v>8.9569253871162448E-4</v>
      </c>
      <c r="N87" s="34">
        <f>+N76*Assumptions!$O$122*'Phase II Pro Forma'!N80</f>
        <v>9.2256331487297323E-4</v>
      </c>
      <c r="O87" s="34">
        <f>+O76*Assumptions!$O$122*'Phase II Pro Forma'!O80</f>
        <v>9.5024021431916244E-4</v>
      </c>
      <c r="P87" s="34">
        <f>+P76*Assumptions!$O$122*'Phase II Pro Forma'!P80</f>
        <v>9.7874742074873736E-4</v>
      </c>
      <c r="Q87" s="34">
        <f>+Q76*Assumptions!$O$122*'Phase II Pro Forma'!Q80</f>
        <v>1.0081098433711994E-3</v>
      </c>
      <c r="R87" s="34">
        <f>+R76*Assumptions!$O$122*'Phase II Pro Forma'!R80</f>
        <v>1.0383531386723354E-3</v>
      </c>
      <c r="S87" s="34">
        <f>+S76*Assumptions!$O$122*'Phase II Pro Forma'!S80</f>
        <v>1.0695037328325057E-3</v>
      </c>
      <c r="T87" s="34">
        <f>+T76*Assumptions!$O$122*'Phase II Pro Forma'!T80</f>
        <v>1.1015888448174809E-3</v>
      </c>
      <c r="U87" s="34">
        <f>+U76*Assumptions!$O$122*'Phase II Pro Forma'!U80</f>
        <v>1.1346365101620054E-3</v>
      </c>
      <c r="V87" s="34">
        <f>+V76*Assumptions!$O$122*'Phase II Pro Forma'!V80</f>
        <v>1.1686756054668655E-3</v>
      </c>
      <c r="W87" s="34">
        <f>+W76*Assumptions!$O$122*'Phase II Pro Forma'!W80</f>
        <v>1.2037358736308715E-3</v>
      </c>
      <c r="X87" s="34">
        <f>+X76*Assumptions!$O$122*'Phase II Pro Forma'!X80</f>
        <v>1.2398479498397976E-3</v>
      </c>
      <c r="Y87" s="34">
        <f>+Y76*Assumptions!$O$122*'Phase II Pro Forma'!Y80</f>
        <v>1.2770433883349916E-3</v>
      </c>
      <c r="Z87" s="34">
        <f>+Z76*Assumptions!$O$122*'Phase II Pro Forma'!Z80</f>
        <v>1.3153546899850415E-3</v>
      </c>
    </row>
    <row r="88" spans="2:26" x14ac:dyDescent="0.35">
      <c r="B88" s="33" t="s">
        <v>331</v>
      </c>
      <c r="F88" s="151">
        <f ca="1">+IFERROR(INDEX('Taxes and TIF'!$AC$11:$AC$45,MATCH('Phase II Pro Forma'!F$7,'Taxes and TIF'!$R$11:$R$45,0)),0)*'Loan Sizing'!$K$18*F77</f>
        <v>0</v>
      </c>
      <c r="G88" s="151">
        <f ca="1">+IFERROR(INDEX('Taxes and TIF'!$AC$11:$AC$45,MATCH('Phase II Pro Forma'!G$7,'Taxes and TIF'!$R$11:$R$45,0)),0)*'Loan Sizing'!$K$18*G77</f>
        <v>0</v>
      </c>
      <c r="H88" s="151">
        <f ca="1">+IFERROR(INDEX('Taxes and TIF'!$AC$11:$AC$45,MATCH('Phase II Pro Forma'!H$7,'Taxes and TIF'!$R$11:$R$45,0)),0)*'Loan Sizing'!$K$18*H77</f>
        <v>0</v>
      </c>
      <c r="I88" s="151">
        <f ca="1">+IFERROR(INDEX('Taxes and TIF'!$AC$11:$AC$45,MATCH('Phase II Pro Forma'!I$7,'Taxes and TIF'!$R$11:$R$45,0)),0)*'Loan Sizing'!$K$18*I77</f>
        <v>0</v>
      </c>
      <c r="J88" s="151">
        <f ca="1">+IFERROR(INDEX('Taxes and TIF'!$AC$11:$AC$45,MATCH('Phase II Pro Forma'!J$7,'Taxes and TIF'!$R$11:$R$45,0)),0)*'Loan Sizing'!$K$18*J77</f>
        <v>0</v>
      </c>
      <c r="K88" s="151">
        <f ca="1">+IFERROR(INDEX('Taxes and TIF'!$AC$11:$AC$45,MATCH('Phase II Pro Forma'!K$7,'Taxes and TIF'!$R$11:$R$45,0)),0)*'Loan Sizing'!$K$18*K77</f>
        <v>0</v>
      </c>
      <c r="L88" s="151">
        <f ca="1">+IFERROR(INDEX('Taxes and TIF'!$AC$11:$AC$45,MATCH('Phase II Pro Forma'!L$7,'Taxes and TIF'!$R$11:$R$45,0)),0)*'Loan Sizing'!$K$18*L77</f>
        <v>0</v>
      </c>
      <c r="M88" s="151">
        <f ca="1">+IFERROR(INDEX('Taxes and TIF'!$AC$11:$AC$45,MATCH('Phase II Pro Forma'!M$7,'Taxes and TIF'!$R$11:$R$45,0)),0)*'Loan Sizing'!$K$18*M77</f>
        <v>0</v>
      </c>
      <c r="N88" s="151">
        <f ca="1">+IFERROR(INDEX('Taxes and TIF'!$AC$11:$AC$45,MATCH('Phase II Pro Forma'!N$7,'Taxes and TIF'!$R$11:$R$45,0)),0)*'Loan Sizing'!$K$18*N77</f>
        <v>0</v>
      </c>
      <c r="O88" s="151">
        <f ca="1">+IFERROR(INDEX('Taxes and TIF'!$AC$11:$AC$45,MATCH('Phase II Pro Forma'!O$7,'Taxes and TIF'!$R$11:$R$45,0)),0)*'Loan Sizing'!$K$18*O77</f>
        <v>0</v>
      </c>
      <c r="P88" s="151">
        <f ca="1">+IFERROR(INDEX('Taxes and TIF'!$AC$11:$AC$45,MATCH('Phase II Pro Forma'!P$7,'Taxes and TIF'!$R$11:$R$45,0)),0)*'Loan Sizing'!$K$18*P77</f>
        <v>0</v>
      </c>
      <c r="Q88" s="151">
        <f ca="1">+IFERROR(INDEX('Taxes and TIF'!$AC$11:$AC$45,MATCH('Phase II Pro Forma'!Q$7,'Taxes and TIF'!$R$11:$R$45,0)),0)*'Loan Sizing'!$K$18*Q77</f>
        <v>0</v>
      </c>
      <c r="R88" s="151">
        <f ca="1">+IFERROR(INDEX('Taxes and TIF'!$AC$11:$AC$45,MATCH('Phase II Pro Forma'!R$7,'Taxes and TIF'!$R$11:$R$45,0)),0)*'Loan Sizing'!$K$18*R77</f>
        <v>0</v>
      </c>
      <c r="S88" s="151">
        <f ca="1">+IFERROR(INDEX('Taxes and TIF'!$AC$11:$AC$45,MATCH('Phase II Pro Forma'!S$7,'Taxes and TIF'!$R$11:$R$45,0)),0)*'Loan Sizing'!$K$18*S77</f>
        <v>0</v>
      </c>
      <c r="T88" s="151">
        <f ca="1">+IFERROR(INDEX('Taxes and TIF'!$AC$11:$AC$45,MATCH('Phase II Pro Forma'!T$7,'Taxes and TIF'!$R$11:$R$45,0)),0)*'Loan Sizing'!$K$18*T77</f>
        <v>0</v>
      </c>
      <c r="U88" s="151">
        <f ca="1">+IFERROR(INDEX('Taxes and TIF'!$AC$11:$AC$45,MATCH('Phase II Pro Forma'!U$7,'Taxes and TIF'!$R$11:$R$45,0)),0)*'Loan Sizing'!$K$18*U77</f>
        <v>0</v>
      </c>
      <c r="V88" s="151">
        <f ca="1">+IFERROR(INDEX('Taxes and TIF'!$AC$11:$AC$45,MATCH('Phase II Pro Forma'!V$7,'Taxes and TIF'!$R$11:$R$45,0)),0)*'Loan Sizing'!$K$18*V77</f>
        <v>0</v>
      </c>
      <c r="W88" s="151">
        <f ca="1">+IFERROR(INDEX('Taxes and TIF'!$AC$11:$AC$45,MATCH('Phase II Pro Forma'!W$7,'Taxes and TIF'!$R$11:$R$45,0)),0)*'Loan Sizing'!$K$18*W77</f>
        <v>0</v>
      </c>
      <c r="X88" s="151">
        <f ca="1">+IFERROR(INDEX('Taxes and TIF'!$AC$11:$AC$45,MATCH('Phase II Pro Forma'!X$7,'Taxes and TIF'!$R$11:$R$45,0)),0)*'Loan Sizing'!$K$18*X77</f>
        <v>0</v>
      </c>
      <c r="Y88" s="151">
        <f ca="1">+IFERROR(INDEX('Taxes and TIF'!$AC$11:$AC$45,MATCH('Phase II Pro Forma'!Y$7,'Taxes and TIF'!$R$11:$R$45,0)),0)*'Loan Sizing'!$K$18*Y77</f>
        <v>0</v>
      </c>
      <c r="Z88" s="151">
        <f ca="1">+IFERROR(INDEX('Taxes and TIF'!$AC$11:$AC$45,MATCH('Phase II Pro Forma'!Z$7,'Taxes and TIF'!$R$11:$R$45,0)),0)*'Loan Sizing'!$K$18*Z77</f>
        <v>0</v>
      </c>
    </row>
    <row r="89" spans="2:26" x14ac:dyDescent="0.35">
      <c r="B89" s="137" t="s">
        <v>252</v>
      </c>
      <c r="C89" s="137"/>
      <c r="D89" s="137"/>
      <c r="E89" s="137"/>
      <c r="F89" s="129">
        <f ca="1">+SUM(F87:F88)</f>
        <v>0</v>
      </c>
      <c r="G89" s="129">
        <f t="shared" ref="G89" ca="1" si="68">+SUM(G87:G88)</f>
        <v>0</v>
      </c>
      <c r="H89" s="129">
        <f t="shared" ref="H89:Z89" ca="1" si="69">+SUM(H87:H88)</f>
        <v>0</v>
      </c>
      <c r="I89" s="129">
        <f t="shared" ca="1" si="69"/>
        <v>3.9790560977999998E-4</v>
      </c>
      <c r="J89" s="129">
        <f t="shared" ca="1" si="69"/>
        <v>8.1968555614680006E-4</v>
      </c>
      <c r="K89" s="129">
        <f t="shared" ca="1" si="69"/>
        <v>8.4427612283120401E-4</v>
      </c>
      <c r="L89" s="129">
        <f t="shared" ca="1" si="69"/>
        <v>8.6960440651614025E-4</v>
      </c>
      <c r="M89" s="129">
        <f t="shared" ca="1" si="69"/>
        <v>8.9569253871162448E-4</v>
      </c>
      <c r="N89" s="129">
        <f t="shared" ca="1" si="69"/>
        <v>9.2256331487297323E-4</v>
      </c>
      <c r="O89" s="129">
        <f t="shared" ca="1" si="69"/>
        <v>9.5024021431916244E-4</v>
      </c>
      <c r="P89" s="129">
        <f t="shared" ca="1" si="69"/>
        <v>9.7874742074873736E-4</v>
      </c>
      <c r="Q89" s="129">
        <f t="shared" ca="1" si="69"/>
        <v>1.0081098433711994E-3</v>
      </c>
      <c r="R89" s="129">
        <f t="shared" ca="1" si="69"/>
        <v>1.0383531386723354E-3</v>
      </c>
      <c r="S89" s="129">
        <f t="shared" ca="1" si="69"/>
        <v>1.0695037328325057E-3</v>
      </c>
      <c r="T89" s="129">
        <f t="shared" ca="1" si="69"/>
        <v>1.1015888448174809E-3</v>
      </c>
      <c r="U89" s="129">
        <f t="shared" ca="1" si="69"/>
        <v>1.1346365101620054E-3</v>
      </c>
      <c r="V89" s="129">
        <f t="shared" ca="1" si="69"/>
        <v>1.1686756054668655E-3</v>
      </c>
      <c r="W89" s="129">
        <f t="shared" ca="1" si="69"/>
        <v>1.2037358736308715E-3</v>
      </c>
      <c r="X89" s="129">
        <f t="shared" ca="1" si="69"/>
        <v>1.2398479498397976E-3</v>
      </c>
      <c r="Y89" s="129">
        <f t="shared" ca="1" si="69"/>
        <v>1.2770433883349916E-3</v>
      </c>
      <c r="Z89" s="129">
        <f t="shared" ca="1" si="69"/>
        <v>1.3153546899850415E-3</v>
      </c>
    </row>
    <row r="90" spans="2:26" x14ac:dyDescent="0.35">
      <c r="B90" s="33"/>
    </row>
    <row r="91" spans="2:26" x14ac:dyDescent="0.35">
      <c r="B91" s="138" t="s">
        <v>251</v>
      </c>
      <c r="C91" s="138"/>
      <c r="D91" s="138"/>
      <c r="E91" s="138"/>
      <c r="F91" s="139">
        <f ca="1">+F85-F89</f>
        <v>0</v>
      </c>
      <c r="G91" s="139">
        <f t="shared" ref="G91:Z91" ca="1" si="70">+G85-G89</f>
        <v>0</v>
      </c>
      <c r="H91" s="139">
        <f t="shared" ca="1" si="70"/>
        <v>0</v>
      </c>
      <c r="I91" s="139">
        <f t="shared" ca="1" si="70"/>
        <v>0</v>
      </c>
      <c r="J91" s="139">
        <f t="shared" ca="1" si="70"/>
        <v>0</v>
      </c>
      <c r="K91" s="139">
        <f t="shared" ca="1" si="70"/>
        <v>0</v>
      </c>
      <c r="L91" s="139">
        <f t="shared" ca="1" si="70"/>
        <v>0</v>
      </c>
      <c r="M91" s="139">
        <f t="shared" ca="1" si="70"/>
        <v>0</v>
      </c>
      <c r="N91" s="139">
        <f t="shared" ca="1" si="70"/>
        <v>0</v>
      </c>
      <c r="O91" s="139">
        <f t="shared" ca="1" si="70"/>
        <v>0</v>
      </c>
      <c r="P91" s="139">
        <f t="shared" ca="1" si="70"/>
        <v>0</v>
      </c>
      <c r="Q91" s="139">
        <f t="shared" ca="1" si="70"/>
        <v>0</v>
      </c>
      <c r="R91" s="139">
        <f t="shared" ca="1" si="70"/>
        <v>0</v>
      </c>
      <c r="S91" s="139">
        <f t="shared" ca="1" si="70"/>
        <v>0</v>
      </c>
      <c r="T91" s="139">
        <f t="shared" ca="1" si="70"/>
        <v>0</v>
      </c>
      <c r="U91" s="139">
        <f t="shared" ca="1" si="70"/>
        <v>0</v>
      </c>
      <c r="V91" s="139">
        <f t="shared" ca="1" si="70"/>
        <v>0</v>
      </c>
      <c r="W91" s="139">
        <f t="shared" ca="1" si="70"/>
        <v>0</v>
      </c>
      <c r="X91" s="139">
        <f t="shared" ca="1" si="70"/>
        <v>0</v>
      </c>
      <c r="Y91" s="139">
        <f t="shared" ca="1" si="70"/>
        <v>0</v>
      </c>
      <c r="Z91" s="139">
        <f t="shared" ca="1" si="70"/>
        <v>0</v>
      </c>
    </row>
    <row r="92" spans="2:26" x14ac:dyDescent="0.35">
      <c r="B92" s="143" t="s">
        <v>257</v>
      </c>
      <c r="C92" s="141"/>
      <c r="D92" s="141"/>
      <c r="E92" s="141"/>
      <c r="F92" s="144" t="str">
        <f ca="1">+IFERROR(F91/F85,"")</f>
        <v/>
      </c>
      <c r="G92" s="144" t="str">
        <f t="shared" ref="G92:Z92" ca="1" si="71">+IFERROR(G91/G85,"")</f>
        <v/>
      </c>
      <c r="H92" s="144" t="str">
        <f t="shared" ca="1" si="71"/>
        <v/>
      </c>
      <c r="I92" s="145">
        <f t="shared" ca="1" si="71"/>
        <v>0</v>
      </c>
      <c r="J92" s="145">
        <f t="shared" ca="1" si="71"/>
        <v>0</v>
      </c>
      <c r="K92" s="145">
        <f t="shared" ca="1" si="71"/>
        <v>0</v>
      </c>
      <c r="L92" s="145">
        <f t="shared" ca="1" si="71"/>
        <v>0</v>
      </c>
      <c r="M92" s="145">
        <f t="shared" ca="1" si="71"/>
        <v>0</v>
      </c>
      <c r="N92" s="145">
        <f t="shared" ca="1" si="71"/>
        <v>0</v>
      </c>
      <c r="O92" s="145">
        <f t="shared" ca="1" si="71"/>
        <v>0</v>
      </c>
      <c r="P92" s="145">
        <f t="shared" ca="1" si="71"/>
        <v>0</v>
      </c>
      <c r="Q92" s="145">
        <f t="shared" ca="1" si="71"/>
        <v>0</v>
      </c>
      <c r="R92" s="145">
        <f t="shared" ca="1" si="71"/>
        <v>0</v>
      </c>
      <c r="S92" s="145">
        <f t="shared" ca="1" si="71"/>
        <v>0</v>
      </c>
      <c r="T92" s="145">
        <f t="shared" ca="1" si="71"/>
        <v>0</v>
      </c>
      <c r="U92" s="145">
        <f t="shared" ca="1" si="71"/>
        <v>0</v>
      </c>
      <c r="V92" s="145">
        <f t="shared" ca="1" si="71"/>
        <v>0</v>
      </c>
      <c r="W92" s="145">
        <f t="shared" ca="1" si="71"/>
        <v>0</v>
      </c>
      <c r="X92" s="145">
        <f t="shared" ca="1" si="71"/>
        <v>0</v>
      </c>
      <c r="Y92" s="145">
        <f t="shared" ca="1" si="71"/>
        <v>0</v>
      </c>
      <c r="Z92" s="145">
        <f t="shared" ca="1" si="71"/>
        <v>0</v>
      </c>
    </row>
    <row r="93" spans="2:26" x14ac:dyDescent="0.35">
      <c r="B93" s="143" t="s">
        <v>191</v>
      </c>
      <c r="C93" s="141"/>
      <c r="D93" s="141"/>
      <c r="E93" s="141"/>
      <c r="F93" s="142">
        <f ca="1">+F91/Assumptions!$O$132</f>
        <v>0</v>
      </c>
      <c r="G93" s="142">
        <f ca="1">+G91/Assumptions!$O$132</f>
        <v>0</v>
      </c>
      <c r="H93" s="142">
        <f ca="1">+H91/Assumptions!$O$132</f>
        <v>0</v>
      </c>
      <c r="I93" s="142">
        <f ca="1">+I91/Assumptions!$O$132</f>
        <v>0</v>
      </c>
      <c r="J93" s="142">
        <f ca="1">+J91/Assumptions!$O$132</f>
        <v>0</v>
      </c>
      <c r="K93" s="142">
        <f ca="1">+K91/Assumptions!$O$132</f>
        <v>0</v>
      </c>
      <c r="L93" s="142">
        <f ca="1">+L91/Assumptions!$O$132</f>
        <v>0</v>
      </c>
      <c r="M93" s="142">
        <f ca="1">+M91/Assumptions!$O$132</f>
        <v>0</v>
      </c>
      <c r="N93" s="142">
        <f ca="1">+N91/Assumptions!$O$132</f>
        <v>0</v>
      </c>
      <c r="O93" s="142">
        <f ca="1">+O91/Assumptions!$O$132</f>
        <v>0</v>
      </c>
      <c r="P93" s="142">
        <f ca="1">+P91/Assumptions!$O$132</f>
        <v>0</v>
      </c>
      <c r="Q93" s="142">
        <f ca="1">+Q91/Assumptions!$O$132</f>
        <v>0</v>
      </c>
      <c r="R93" s="142">
        <f ca="1">+R91/Assumptions!$O$132</f>
        <v>0</v>
      </c>
      <c r="S93" s="142">
        <f ca="1">+S91/Assumptions!$O$132</f>
        <v>0</v>
      </c>
      <c r="T93" s="142">
        <f ca="1">+T91/Assumptions!$O$132</f>
        <v>0</v>
      </c>
      <c r="U93" s="142">
        <f ca="1">+U91/Assumptions!$O$132</f>
        <v>0</v>
      </c>
      <c r="V93" s="142">
        <f ca="1">+V91/Assumptions!$O$132</f>
        <v>0</v>
      </c>
      <c r="W93" s="142">
        <f ca="1">+W91/Assumptions!$O$132</f>
        <v>0</v>
      </c>
      <c r="X93" s="142">
        <f ca="1">+X91/Assumptions!$O$132</f>
        <v>0</v>
      </c>
      <c r="Y93" s="142">
        <f ca="1">+Y91/Assumptions!$O$132</f>
        <v>0</v>
      </c>
      <c r="Z93" s="142">
        <f ca="1">+Z91/Assumptions!$O$132</f>
        <v>0</v>
      </c>
    </row>
    <row r="95" spans="2:26" x14ac:dyDescent="0.35">
      <c r="B95" s="148" t="s">
        <v>148</v>
      </c>
      <c r="C95" s="149"/>
      <c r="D95" s="149"/>
      <c r="E95" s="149"/>
      <c r="F95" s="150">
        <f>+Assumptions!$G$22</f>
        <v>44926</v>
      </c>
      <c r="G95" s="150">
        <f>+EOMONTH(F95,12)</f>
        <v>45291</v>
      </c>
      <c r="H95" s="150">
        <f t="shared" ref="H95:Z95" si="72">+EOMONTH(G95,12)</f>
        <v>45657</v>
      </c>
      <c r="I95" s="150">
        <f t="shared" si="72"/>
        <v>46022</v>
      </c>
      <c r="J95" s="150">
        <f t="shared" si="72"/>
        <v>46387</v>
      </c>
      <c r="K95" s="150">
        <f t="shared" si="72"/>
        <v>46752</v>
      </c>
      <c r="L95" s="150">
        <f t="shared" si="72"/>
        <v>47118</v>
      </c>
      <c r="M95" s="150">
        <f t="shared" si="72"/>
        <v>47483</v>
      </c>
      <c r="N95" s="150">
        <f t="shared" si="72"/>
        <v>47848</v>
      </c>
      <c r="O95" s="150">
        <f t="shared" si="72"/>
        <v>48213</v>
      </c>
      <c r="P95" s="150">
        <f t="shared" si="72"/>
        <v>48579</v>
      </c>
      <c r="Q95" s="150">
        <f t="shared" si="72"/>
        <v>48944</v>
      </c>
      <c r="R95" s="150">
        <f t="shared" si="72"/>
        <v>49309</v>
      </c>
      <c r="S95" s="150">
        <f t="shared" si="72"/>
        <v>49674</v>
      </c>
      <c r="T95" s="150">
        <f t="shared" si="72"/>
        <v>50040</v>
      </c>
      <c r="U95" s="150">
        <f t="shared" si="72"/>
        <v>50405</v>
      </c>
      <c r="V95" s="150">
        <f t="shared" si="72"/>
        <v>50770</v>
      </c>
      <c r="W95" s="150">
        <f t="shared" si="72"/>
        <v>51135</v>
      </c>
      <c r="X95" s="150">
        <f t="shared" si="72"/>
        <v>51501</v>
      </c>
      <c r="Y95" s="150">
        <f t="shared" si="72"/>
        <v>51866</v>
      </c>
      <c r="Z95" s="150">
        <f t="shared" si="72"/>
        <v>52231</v>
      </c>
    </row>
    <row r="96" spans="2:26" x14ac:dyDescent="0.35">
      <c r="B96" s="33" t="s">
        <v>766</v>
      </c>
      <c r="C96" s="33"/>
      <c r="D96" s="40"/>
      <c r="E96" s="40"/>
      <c r="F96" s="42">
        <f>+IF(AND(F95&gt;=Assumptions!$G$26,F95&lt;Assumptions!$G$28),Assumptions!$G$172/ROUNDUP((Assumptions!$G$27/12),0),0)</f>
        <v>0</v>
      </c>
      <c r="G96" s="42">
        <f>+IF(AND(G95&gt;=Assumptions!$G$26,G95&lt;Assumptions!$G$28),Assumptions!$G$172/ROUNDUP((Assumptions!$G$27/12),0),0)</f>
        <v>0</v>
      </c>
      <c r="H96" s="42">
        <f>+IF(AND(H95&gt;=Assumptions!$G$26,H95&lt;Assumptions!$G$28),Assumptions!$G$172/ROUNDUP((Assumptions!$G$27/12),0),0)</f>
        <v>0</v>
      </c>
      <c r="I96" s="42">
        <f>+IF(AND(I95&gt;=Assumptions!$G$26,I95&lt;Assumptions!$G$28),Assumptions!$G$172/ROUNDUP((Assumptions!$G$27/12),0),0)</f>
        <v>67468.5</v>
      </c>
      <c r="J96" s="42">
        <f>+IF(AND(J95&gt;=Assumptions!$G$26,J95&lt;Assumptions!$G$28),Assumptions!$G$172/ROUNDUP((Assumptions!$G$27/12),0),0)</f>
        <v>67468.5</v>
      </c>
      <c r="K96" s="42">
        <f>+IF(AND(K95&gt;=Assumptions!$G$26,K95&lt;Assumptions!$G$28),Assumptions!$G$172/ROUNDUP((Assumptions!$G$27/12),0),0)</f>
        <v>0</v>
      </c>
      <c r="L96" s="42">
        <f>+IF(AND(L95&gt;=Assumptions!$G$26,L95&lt;Assumptions!$G$28),Assumptions!$G$172/ROUNDUP((Assumptions!$G$27/12),0),0)</f>
        <v>0</v>
      </c>
      <c r="M96" s="42">
        <f>+IF(AND(M95&gt;=Assumptions!$G$26,M95&lt;Assumptions!$G$28),Assumptions!$G$172/ROUNDUP((Assumptions!$G$27/12),0),0)</f>
        <v>0</v>
      </c>
      <c r="N96" s="42">
        <f>+IF(AND(N95&gt;=Assumptions!$G$26,N95&lt;Assumptions!$G$28),Assumptions!$G$172/ROUNDUP((Assumptions!$G$27/12),0),0)</f>
        <v>0</v>
      </c>
      <c r="O96" s="42">
        <f>+IF(AND(O95&gt;=Assumptions!$G$26,O95&lt;Assumptions!$G$28),Assumptions!$G$172/ROUNDUP((Assumptions!$G$27/12),0),0)</f>
        <v>0</v>
      </c>
      <c r="P96" s="42">
        <f>+IF(AND(P95&gt;=Assumptions!$G$26,P95&lt;Assumptions!$G$28),Assumptions!$G$172/ROUNDUP((Assumptions!$G$27/12),0),0)</f>
        <v>0</v>
      </c>
      <c r="Q96" s="42">
        <f>+IF(AND(Q95&gt;=Assumptions!$G$26,Q95&lt;Assumptions!$G$28),Assumptions!$G$172/ROUNDUP((Assumptions!$G$27/12),0),0)</f>
        <v>0</v>
      </c>
      <c r="R96" s="42">
        <f>+IF(AND(R95&gt;=Assumptions!$G$26,R95&lt;Assumptions!$G$28),Assumptions!$G$172/ROUNDUP((Assumptions!$G$27/12),0),0)</f>
        <v>0</v>
      </c>
      <c r="S96" s="42">
        <f>+IF(AND(S95&gt;=Assumptions!$G$26,S95&lt;Assumptions!$G$28),Assumptions!$G$172/ROUNDUP((Assumptions!$G$27/12),0),0)</f>
        <v>0</v>
      </c>
      <c r="T96" s="42">
        <f>+IF(AND(T95&gt;=Assumptions!$G$26,T95&lt;Assumptions!$G$28),Assumptions!$G$172/ROUNDUP((Assumptions!$G$27/12),0),0)</f>
        <v>0</v>
      </c>
      <c r="U96" s="42">
        <f>+IF(AND(U95&gt;=Assumptions!$G$26,U95&lt;Assumptions!$G$28),Assumptions!$G$172/ROUNDUP((Assumptions!$G$27/12),0),0)</f>
        <v>0</v>
      </c>
      <c r="V96" s="42">
        <f>+IF(AND(V95&gt;=Assumptions!$G$26,V95&lt;Assumptions!$G$28),Assumptions!$G$172/ROUNDUP((Assumptions!$G$27/12),0),0)</f>
        <v>0</v>
      </c>
      <c r="W96" s="42">
        <f>+IF(AND(W95&gt;=Assumptions!$G$26,W95&lt;Assumptions!$G$28),Assumptions!$G$172/ROUNDUP((Assumptions!$G$27/12),0),0)</f>
        <v>0</v>
      </c>
      <c r="X96" s="42">
        <f>+IF(AND(X95&gt;=Assumptions!$G$26,X95&lt;Assumptions!$G$28),Assumptions!$G$172/ROUNDUP((Assumptions!$G$27/12),0),0)</f>
        <v>0</v>
      </c>
      <c r="Y96" s="42">
        <f>+IF(AND(Y95&gt;=Assumptions!$G$26,Y95&lt;Assumptions!$G$28),Assumptions!$G$172/ROUNDUP((Assumptions!$G$27/12),0),0)</f>
        <v>0</v>
      </c>
      <c r="Z96" s="42">
        <f>+IF(AND(Z95&gt;=Assumptions!$G$26,Z95&lt;Assumptions!$G$28),Assumptions!$G$172/ROUNDUP((Assumptions!$G$27/12),0),0)</f>
        <v>0</v>
      </c>
    </row>
    <row r="97" spans="2:26" x14ac:dyDescent="0.35">
      <c r="B97" s="33" t="s">
        <v>249</v>
      </c>
      <c r="C97" s="33"/>
      <c r="D97" s="42">
        <v>0</v>
      </c>
      <c r="E97" s="42"/>
      <c r="F97" s="42">
        <f>+D97+F96</f>
        <v>0</v>
      </c>
      <c r="G97" s="42">
        <f t="shared" ref="G97:Z97" si="73">+F97+G96</f>
        <v>0</v>
      </c>
      <c r="H97" s="42">
        <f t="shared" si="73"/>
        <v>0</v>
      </c>
      <c r="I97" s="42">
        <f t="shared" si="73"/>
        <v>67468.5</v>
      </c>
      <c r="J97" s="42">
        <f t="shared" si="73"/>
        <v>134937</v>
      </c>
      <c r="K97" s="42">
        <f t="shared" si="73"/>
        <v>134937</v>
      </c>
      <c r="L97" s="42">
        <f t="shared" si="73"/>
        <v>134937</v>
      </c>
      <c r="M97" s="42">
        <f t="shared" si="73"/>
        <v>134937</v>
      </c>
      <c r="N97" s="42">
        <f t="shared" si="73"/>
        <v>134937</v>
      </c>
      <c r="O97" s="42">
        <f t="shared" si="73"/>
        <v>134937</v>
      </c>
      <c r="P97" s="42">
        <f t="shared" si="73"/>
        <v>134937</v>
      </c>
      <c r="Q97" s="42">
        <f t="shared" si="73"/>
        <v>134937</v>
      </c>
      <c r="R97" s="42">
        <f t="shared" si="73"/>
        <v>134937</v>
      </c>
      <c r="S97" s="42">
        <f t="shared" si="73"/>
        <v>134937</v>
      </c>
      <c r="T97" s="42">
        <f t="shared" si="73"/>
        <v>134937</v>
      </c>
      <c r="U97" s="42">
        <f t="shared" si="73"/>
        <v>134937</v>
      </c>
      <c r="V97" s="42">
        <f t="shared" si="73"/>
        <v>134937</v>
      </c>
      <c r="W97" s="42">
        <f t="shared" si="73"/>
        <v>134937</v>
      </c>
      <c r="X97" s="42">
        <f t="shared" si="73"/>
        <v>134937</v>
      </c>
      <c r="Y97" s="42">
        <f t="shared" si="73"/>
        <v>134937</v>
      </c>
      <c r="Z97" s="42">
        <f t="shared" si="73"/>
        <v>134937</v>
      </c>
    </row>
    <row r="98" spans="2:26" x14ac:dyDescent="0.35">
      <c r="B98" s="33" t="s">
        <v>306</v>
      </c>
      <c r="C98" s="33"/>
      <c r="D98" s="42"/>
      <c r="E98" s="42"/>
      <c r="F98" s="108">
        <f t="shared" ref="F98:Z98" si="74">+F97/SUM($F96:$Z96)</f>
        <v>0</v>
      </c>
      <c r="G98" s="108">
        <f t="shared" si="74"/>
        <v>0</v>
      </c>
      <c r="H98" s="108">
        <f t="shared" si="74"/>
        <v>0</v>
      </c>
      <c r="I98" s="108">
        <f t="shared" si="74"/>
        <v>0.5</v>
      </c>
      <c r="J98" s="108">
        <f t="shared" si="74"/>
        <v>1</v>
      </c>
      <c r="K98" s="108">
        <f t="shared" si="74"/>
        <v>1</v>
      </c>
      <c r="L98" s="108">
        <f t="shared" si="74"/>
        <v>1</v>
      </c>
      <c r="M98" s="108">
        <f t="shared" si="74"/>
        <v>1</v>
      </c>
      <c r="N98" s="108">
        <f t="shared" si="74"/>
        <v>1</v>
      </c>
      <c r="O98" s="108">
        <f t="shared" si="74"/>
        <v>1</v>
      </c>
      <c r="P98" s="108">
        <f t="shared" si="74"/>
        <v>1</v>
      </c>
      <c r="Q98" s="108">
        <f t="shared" si="74"/>
        <v>1</v>
      </c>
      <c r="R98" s="108">
        <f t="shared" si="74"/>
        <v>1</v>
      </c>
      <c r="S98" s="108">
        <f t="shared" si="74"/>
        <v>1</v>
      </c>
      <c r="T98" s="108">
        <f t="shared" si="74"/>
        <v>1</v>
      </c>
      <c r="U98" s="108">
        <f t="shared" si="74"/>
        <v>1</v>
      </c>
      <c r="V98" s="108">
        <f t="shared" si="74"/>
        <v>1</v>
      </c>
      <c r="W98" s="108">
        <f t="shared" si="74"/>
        <v>1</v>
      </c>
      <c r="X98" s="108">
        <f t="shared" si="74"/>
        <v>1</v>
      </c>
      <c r="Y98" s="108">
        <f t="shared" si="74"/>
        <v>1</v>
      </c>
      <c r="Z98" s="108">
        <f t="shared" si="74"/>
        <v>1</v>
      </c>
    </row>
    <row r="99" spans="2:26" x14ac:dyDescent="0.35">
      <c r="B99" s="33"/>
      <c r="C99" s="33"/>
      <c r="D99" s="40"/>
      <c r="E99" s="40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2:26" x14ac:dyDescent="0.35">
      <c r="B100" s="33" t="s">
        <v>254</v>
      </c>
      <c r="C100" s="33"/>
      <c r="D100" s="42"/>
      <c r="E100" s="42"/>
      <c r="F100" s="108">
        <v>1</v>
      </c>
      <c r="G100" s="108">
        <f>+IF(MOD(G$2,Assumptions!$O$71)=(Assumptions!$O$71-1),F100*(1+Assumptions!$O$70),'Phase II Pro Forma'!F100)</f>
        <v>1</v>
      </c>
      <c r="H100" s="108">
        <f>+IF(MOD(H$2,Assumptions!$O$71)=(Assumptions!$O$71-1),G100*(1+Assumptions!$O$70),'Phase II Pro Forma'!G100)</f>
        <v>1</v>
      </c>
      <c r="I100" s="108">
        <f>+IF(MOD(I$2,Assumptions!$O$71)=(Assumptions!$O$71-1),H100*(1+Assumptions!$O$70),'Phase II Pro Forma'!H100)</f>
        <v>1</v>
      </c>
      <c r="J100" s="108">
        <f>+IF(MOD(J$2,Assumptions!$O$71)=(Assumptions!$O$71-1),I100*(1+Assumptions!$O$70),'Phase II Pro Forma'!I100)</f>
        <v>1</v>
      </c>
      <c r="K100" s="108">
        <f>+IF(MOD(K$2,Assumptions!$O$71)=(Assumptions!$O$71-1),J100*(1+Assumptions!$O$70),'Phase II Pro Forma'!J100)</f>
        <v>1</v>
      </c>
      <c r="L100" s="108">
        <f>+IF(MOD(L$2,Assumptions!$O$71)=(Assumptions!$O$71-1),K100*(1+Assumptions!$O$70),'Phase II Pro Forma'!K100)</f>
        <v>1.1000000000000001</v>
      </c>
      <c r="M100" s="108">
        <f>+IF(MOD(M$2,Assumptions!$O$71)=(Assumptions!$O$71-1),L100*(1+Assumptions!$O$70),'Phase II Pro Forma'!L100)</f>
        <v>1.1000000000000001</v>
      </c>
      <c r="N100" s="108">
        <f>+IF(MOD(N$2,Assumptions!$O$71)=(Assumptions!$O$71-1),M100*(1+Assumptions!$O$70),'Phase II Pro Forma'!M100)</f>
        <v>1.1000000000000001</v>
      </c>
      <c r="O100" s="108">
        <f>+IF(MOD(O$2,Assumptions!$O$71)=(Assumptions!$O$71-1),N100*(1+Assumptions!$O$70),'Phase II Pro Forma'!N100)</f>
        <v>1.1000000000000001</v>
      </c>
      <c r="P100" s="108">
        <f>+IF(MOD(P$2,Assumptions!$O$71)=(Assumptions!$O$71-1),O100*(1+Assumptions!$O$70),'Phase II Pro Forma'!O100)</f>
        <v>1.1000000000000001</v>
      </c>
      <c r="Q100" s="108">
        <f>+IF(MOD(Q$2,Assumptions!$O$71)=(Assumptions!$O$71-1),P100*(1+Assumptions!$O$70),'Phase II Pro Forma'!P100)</f>
        <v>1.2100000000000002</v>
      </c>
      <c r="R100" s="108">
        <f>+IF(MOD(R$2,Assumptions!$O$71)=(Assumptions!$O$71-1),Q100*(1+Assumptions!$O$70),'Phase II Pro Forma'!Q100)</f>
        <v>1.2100000000000002</v>
      </c>
      <c r="S100" s="108">
        <f>+IF(MOD(S$2,Assumptions!$O$71)=(Assumptions!$O$71-1),R100*(1+Assumptions!$O$70),'Phase II Pro Forma'!R100)</f>
        <v>1.2100000000000002</v>
      </c>
      <c r="T100" s="108">
        <f>+IF(MOD(T$2,Assumptions!$O$71)=(Assumptions!$O$71-1),S100*(1+Assumptions!$O$70),'Phase II Pro Forma'!S100)</f>
        <v>1.2100000000000002</v>
      </c>
      <c r="U100" s="108">
        <f>+IF(MOD(U$2,Assumptions!$O$71)=(Assumptions!$O$71-1),T100*(1+Assumptions!$O$70),'Phase II Pro Forma'!T100)</f>
        <v>1.2100000000000002</v>
      </c>
      <c r="V100" s="108">
        <f>+IF(MOD(V$2,Assumptions!$O$71)=(Assumptions!$O$71-1),U100*(1+Assumptions!$O$70),'Phase II Pro Forma'!U100)</f>
        <v>1.3310000000000004</v>
      </c>
      <c r="W100" s="108">
        <f>+IF(MOD(W$2,Assumptions!$O$71)=(Assumptions!$O$71-1),V100*(1+Assumptions!$O$70),'Phase II Pro Forma'!V100)</f>
        <v>1.3310000000000004</v>
      </c>
      <c r="X100" s="108">
        <f>+IF(MOD(X$2,Assumptions!$O$71)=(Assumptions!$O$71-1),W100*(1+Assumptions!$O$70),'Phase II Pro Forma'!W100)</f>
        <v>1.3310000000000004</v>
      </c>
      <c r="Y100" s="108">
        <f>+IF(MOD(Y$2,Assumptions!$O$71)=(Assumptions!$O$71-1),X100*(1+Assumptions!$O$70),'Phase II Pro Forma'!X100)</f>
        <v>1.3310000000000004</v>
      </c>
      <c r="Z100" s="108">
        <f>+IF(MOD(Z$2,Assumptions!$O$71)=(Assumptions!$O$71-1),Y100*(1+Assumptions!$O$70),'Phase II Pro Forma'!Y100)</f>
        <v>1.3310000000000004</v>
      </c>
    </row>
    <row r="101" spans="2:26" x14ac:dyDescent="0.35">
      <c r="B101" s="33" t="s">
        <v>255</v>
      </c>
      <c r="C101" s="33"/>
      <c r="D101" s="42"/>
      <c r="E101" s="42"/>
      <c r="F101" s="108">
        <v>1</v>
      </c>
      <c r="G101" s="108">
        <f>+F101*(1+Assumptions!$O$80)</f>
        <v>1.03</v>
      </c>
      <c r="H101" s="108">
        <f>+G101*(1+Assumptions!$O$80)</f>
        <v>1.0609</v>
      </c>
      <c r="I101" s="108">
        <f>+H101*(1+Assumptions!$O$80)</f>
        <v>1.092727</v>
      </c>
      <c r="J101" s="108">
        <f>+I101*(1+Assumptions!$O$80)</f>
        <v>1.1255088100000001</v>
      </c>
      <c r="K101" s="108">
        <f>+J101*(1+Assumptions!$O$80)</f>
        <v>1.1592740743000001</v>
      </c>
      <c r="L101" s="108">
        <f>+K101*(1+Assumptions!$O$80)</f>
        <v>1.1940522965290001</v>
      </c>
      <c r="M101" s="108">
        <f>+L101*(1+Assumptions!$O$80)</f>
        <v>1.2298738654248702</v>
      </c>
      <c r="N101" s="108">
        <f>+M101*(1+Assumptions!$O$80)</f>
        <v>1.2667700813876164</v>
      </c>
      <c r="O101" s="108">
        <f>+N101*(1+Assumptions!$O$80)</f>
        <v>1.3047731838292449</v>
      </c>
      <c r="P101" s="108">
        <f>+O101*(1+Assumptions!$O$80)</f>
        <v>1.3439163793441222</v>
      </c>
      <c r="Q101" s="108">
        <f>+P101*(1+Assumptions!$O$80)</f>
        <v>1.3842338707244459</v>
      </c>
      <c r="R101" s="108">
        <f>+Q101*(1+Assumptions!$O$80)</f>
        <v>1.4257608868461793</v>
      </c>
      <c r="S101" s="108">
        <f>+R101*(1+Assumptions!$O$80)</f>
        <v>1.4685337134515648</v>
      </c>
      <c r="T101" s="108">
        <f>+S101*(1+Assumptions!$O$80)</f>
        <v>1.5125897248551119</v>
      </c>
      <c r="U101" s="108">
        <f>+T101*(1+Assumptions!$O$80)</f>
        <v>1.5579674166007653</v>
      </c>
      <c r="V101" s="108">
        <f>+U101*(1+Assumptions!$O$80)</f>
        <v>1.6047064390987884</v>
      </c>
      <c r="W101" s="108">
        <f>+V101*(1+Assumptions!$O$80)</f>
        <v>1.652847632271752</v>
      </c>
      <c r="X101" s="108">
        <f>+W101*(1+Assumptions!$O$80)</f>
        <v>1.7024330612399046</v>
      </c>
      <c r="Y101" s="108">
        <f>+X101*(1+Assumptions!$O$80)</f>
        <v>1.7535060530771018</v>
      </c>
      <c r="Z101" s="108">
        <f>+Y101*(1+Assumptions!$O$80)</f>
        <v>1.806111234669415</v>
      </c>
    </row>
    <row r="102" spans="2:26" x14ac:dyDescent="0.35">
      <c r="B102" s="33"/>
      <c r="C102" s="33"/>
      <c r="D102" s="40"/>
      <c r="E102" s="40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2:26" x14ac:dyDescent="0.35">
      <c r="B103" s="33" t="s">
        <v>246</v>
      </c>
      <c r="C103" s="33"/>
      <c r="D103" s="40"/>
      <c r="E103" s="40"/>
      <c r="F103" s="34">
        <f>+F98*Assumptions!$G$171*F100</f>
        <v>0</v>
      </c>
      <c r="G103" s="34">
        <f>+G98*Assumptions!$G$171*G100</f>
        <v>0</v>
      </c>
      <c r="H103" s="34">
        <f>+H98*Assumptions!$G$171*H100</f>
        <v>0</v>
      </c>
      <c r="I103" s="34">
        <f>+I98*Assumptions!$G$171*I100</f>
        <v>1684661.4576000001</v>
      </c>
      <c r="J103" s="34">
        <f>+J98*Assumptions!$G$171*J100</f>
        <v>3369322.9152000002</v>
      </c>
      <c r="K103" s="34">
        <f>+K98*Assumptions!$G$171*K100</f>
        <v>3369322.9152000002</v>
      </c>
      <c r="L103" s="34">
        <f>+L98*Assumptions!$G$171*L100</f>
        <v>3706255.2067200006</v>
      </c>
      <c r="M103" s="34">
        <f>+M98*Assumptions!$G$171*M100</f>
        <v>3706255.2067200006</v>
      </c>
      <c r="N103" s="34">
        <f>+N98*Assumptions!$G$171*N100</f>
        <v>3706255.2067200006</v>
      </c>
      <c r="O103" s="34">
        <f>+O98*Assumptions!$G$171*O100</f>
        <v>3706255.2067200006</v>
      </c>
      <c r="P103" s="34">
        <f>+P98*Assumptions!$G$171*P100</f>
        <v>3706255.2067200006</v>
      </c>
      <c r="Q103" s="34">
        <f>+Q98*Assumptions!$G$171*Q100</f>
        <v>4076880.7273920006</v>
      </c>
      <c r="R103" s="34">
        <f>+R98*Assumptions!$G$171*R100</f>
        <v>4076880.7273920006</v>
      </c>
      <c r="S103" s="34">
        <f>+S98*Assumptions!$G$171*S100</f>
        <v>4076880.7273920006</v>
      </c>
      <c r="T103" s="34">
        <f>+T98*Assumptions!$G$171*T100</f>
        <v>4076880.7273920006</v>
      </c>
      <c r="U103" s="34">
        <f>+U98*Assumptions!$G$171*U100</f>
        <v>4076880.7273920006</v>
      </c>
      <c r="V103" s="34">
        <f>+V98*Assumptions!$G$171*V100</f>
        <v>4484568.8001312017</v>
      </c>
      <c r="W103" s="34">
        <f>+W98*Assumptions!$G$171*W100</f>
        <v>4484568.8001312017</v>
      </c>
      <c r="X103" s="34">
        <f>+X98*Assumptions!$G$171*X100</f>
        <v>4484568.8001312017</v>
      </c>
      <c r="Y103" s="34">
        <f>+Y98*Assumptions!$G$171*Y100</f>
        <v>4484568.8001312017</v>
      </c>
      <c r="Z103" s="34">
        <f>+Z98*Assumptions!$G$171*Z100</f>
        <v>4484568.8001312017</v>
      </c>
    </row>
    <row r="104" spans="2:26" x14ac:dyDescent="0.35">
      <c r="B104" s="33" t="s">
        <v>247</v>
      </c>
      <c r="C104" s="33"/>
      <c r="D104" s="40"/>
      <c r="E104" s="40"/>
      <c r="F104" s="42">
        <f>-F103*Assumptions!$O$58</f>
        <v>0</v>
      </c>
      <c r="G104" s="42">
        <f>-G103*Assumptions!$O$58</f>
        <v>0</v>
      </c>
      <c r="H104" s="42">
        <f>-H103*Assumptions!$O$58</f>
        <v>0</v>
      </c>
      <c r="I104" s="42">
        <f>-I103*Assumptions!$O$58</f>
        <v>-168466.14576000001</v>
      </c>
      <c r="J104" s="42">
        <f>-J103*Assumptions!$O$58</f>
        <v>-336932.29152000003</v>
      </c>
      <c r="K104" s="42">
        <f>-K103*Assumptions!$O$58</f>
        <v>-336932.29152000003</v>
      </c>
      <c r="L104" s="42">
        <f>-L103*Assumptions!$O$58</f>
        <v>-370625.52067200007</v>
      </c>
      <c r="M104" s="42">
        <f>-M103*Assumptions!$O$58</f>
        <v>-370625.52067200007</v>
      </c>
      <c r="N104" s="42">
        <f>-N103*Assumptions!$O$58</f>
        <v>-370625.52067200007</v>
      </c>
      <c r="O104" s="42">
        <f>-O103*Assumptions!$O$58</f>
        <v>-370625.52067200007</v>
      </c>
      <c r="P104" s="42">
        <f>-P103*Assumptions!$O$58</f>
        <v>-370625.52067200007</v>
      </c>
      <c r="Q104" s="42">
        <f>-Q103*Assumptions!$O$58</f>
        <v>-407688.07273920008</v>
      </c>
      <c r="R104" s="42">
        <f>-R103*Assumptions!$O$58</f>
        <v>-407688.07273920008</v>
      </c>
      <c r="S104" s="42">
        <f>-S103*Assumptions!$O$58</f>
        <v>-407688.07273920008</v>
      </c>
      <c r="T104" s="42">
        <f>-T103*Assumptions!$O$58</f>
        <v>-407688.07273920008</v>
      </c>
      <c r="U104" s="42">
        <f>-U103*Assumptions!$O$58</f>
        <v>-407688.07273920008</v>
      </c>
      <c r="V104" s="42">
        <f>-V103*Assumptions!$O$58</f>
        <v>-448456.88001312019</v>
      </c>
      <c r="W104" s="42">
        <f>-W103*Assumptions!$O$58</f>
        <v>-448456.88001312019</v>
      </c>
      <c r="X104" s="42">
        <f>-X103*Assumptions!$O$58</f>
        <v>-448456.88001312019</v>
      </c>
      <c r="Y104" s="42">
        <f>-Y103*Assumptions!$O$58</f>
        <v>-448456.88001312019</v>
      </c>
      <c r="Z104" s="42">
        <f>-Z103*Assumptions!$O$58</f>
        <v>-448456.88001312019</v>
      </c>
    </row>
    <row r="105" spans="2:26" x14ac:dyDescent="0.35">
      <c r="B105" s="33" t="s">
        <v>262</v>
      </c>
      <c r="C105" s="33"/>
      <c r="D105" s="40"/>
      <c r="E105" s="40"/>
      <c r="F105" s="151">
        <f ca="1">+F110*Assumptions!$O$91</f>
        <v>0</v>
      </c>
      <c r="G105" s="151">
        <f ca="1">+G110*Assumptions!$O$91</f>
        <v>0</v>
      </c>
      <c r="H105" s="151">
        <f ca="1">+H110*Assumptions!$O$91</f>
        <v>0</v>
      </c>
      <c r="I105" s="151">
        <f ca="1">+I110*Assumptions!$O$91</f>
        <v>967136.55589861248</v>
      </c>
      <c r="J105" s="151">
        <f ca="1">+J110*Assumptions!$O$91</f>
        <v>1983313.4962489256</v>
      </c>
      <c r="K105" s="151">
        <f ca="1">+K110*Assumptions!$O$91</f>
        <v>2015310.2058956122</v>
      </c>
      <c r="L105" s="151">
        <f ca="1">+L110*Assumptions!$O$91</f>
        <v>2048266.8168316993</v>
      </c>
      <c r="M105" s="151">
        <f ca="1">+M110*Assumptions!$O$91</f>
        <v>2100547.2562563904</v>
      </c>
      <c r="N105" s="151">
        <f ca="1">+N110*Assumptions!$O$91</f>
        <v>2135510.9247984854</v>
      </c>
      <c r="O105" s="151">
        <f ca="1">+O110*Assumptions!$O$91</f>
        <v>2171523.5033968431</v>
      </c>
      <c r="P105" s="151">
        <f ca="1">+P110*Assumptions!$O$91</f>
        <v>2227318.2921168823</v>
      </c>
      <c r="Q105" s="151">
        <f ca="1">+Q110*Assumptions!$O$91</f>
        <v>2265524.0367518803</v>
      </c>
      <c r="R105" s="151">
        <f ca="1">+R110*Assumptions!$O$91</f>
        <v>2304875.953725928</v>
      </c>
      <c r="S105" s="151">
        <f ca="1">+S110*Assumptions!$O$91</f>
        <v>2364484.2976282029</v>
      </c>
      <c r="T105" s="151">
        <f ca="1">+T110*Assumptions!$O$91</f>
        <v>2406232.7463459703</v>
      </c>
      <c r="U105" s="151">
        <f ca="1">+U110*Assumptions!$O$91</f>
        <v>2449233.6485252702</v>
      </c>
      <c r="V105" s="151">
        <f ca="1">+V110*Assumptions!$O$91</f>
        <v>2512981.9645773359</v>
      </c>
      <c r="W105" s="151">
        <f ca="1">+W110*Assumptions!$O$91</f>
        <v>2558601.6216993555</v>
      </c>
      <c r="X105" s="151">
        <f ca="1">+X110*Assumptions!$O$91</f>
        <v>2605589.8685350358</v>
      </c>
      <c r="Y105" s="151">
        <f ca="1">+Y110*Assumptions!$O$91</f>
        <v>2673834.29731932</v>
      </c>
      <c r="Z105" s="151">
        <f ca="1">+Z110*Assumptions!$O$91</f>
        <v>2723684.1283872933</v>
      </c>
    </row>
    <row r="106" spans="2:26" x14ac:dyDescent="0.35">
      <c r="B106" s="137" t="s">
        <v>256</v>
      </c>
      <c r="C106" s="137"/>
      <c r="D106" s="137"/>
      <c r="E106" s="137"/>
      <c r="F106" s="129">
        <f t="shared" ref="F106:Z106" ca="1" si="75">+SUM(F103:F105)</f>
        <v>0</v>
      </c>
      <c r="G106" s="129">
        <f t="shared" ca="1" si="75"/>
        <v>0</v>
      </c>
      <c r="H106" s="129">
        <f t="shared" ca="1" si="75"/>
        <v>0</v>
      </c>
      <c r="I106" s="129">
        <f t="shared" ca="1" si="75"/>
        <v>2483331.8677386125</v>
      </c>
      <c r="J106" s="129">
        <f t="shared" ca="1" si="75"/>
        <v>5015704.1199289262</v>
      </c>
      <c r="K106" s="129">
        <f t="shared" ca="1" si="75"/>
        <v>5047700.8295756122</v>
      </c>
      <c r="L106" s="129">
        <f t="shared" ca="1" si="75"/>
        <v>5383896.5028796997</v>
      </c>
      <c r="M106" s="129">
        <f t="shared" ca="1" si="75"/>
        <v>5436176.9423043914</v>
      </c>
      <c r="N106" s="129">
        <f t="shared" ca="1" si="75"/>
        <v>5471140.6108464859</v>
      </c>
      <c r="O106" s="129">
        <f t="shared" ca="1" si="75"/>
        <v>5507153.1894448437</v>
      </c>
      <c r="P106" s="129">
        <f t="shared" ca="1" si="75"/>
        <v>5562947.9781648833</v>
      </c>
      <c r="Q106" s="129">
        <f t="shared" ca="1" si="75"/>
        <v>5934716.6914046807</v>
      </c>
      <c r="R106" s="129">
        <f t="shared" ca="1" si="75"/>
        <v>5974068.6083787289</v>
      </c>
      <c r="S106" s="129">
        <f t="shared" ca="1" si="75"/>
        <v>6033676.9522810038</v>
      </c>
      <c r="T106" s="129">
        <f t="shared" ca="1" si="75"/>
        <v>6075425.4009987712</v>
      </c>
      <c r="U106" s="129">
        <f t="shared" ca="1" si="75"/>
        <v>6118426.3031780701</v>
      </c>
      <c r="V106" s="129">
        <f t="shared" ca="1" si="75"/>
        <v>6549093.8846954172</v>
      </c>
      <c r="W106" s="129">
        <f t="shared" ca="1" si="75"/>
        <v>6594713.5418174369</v>
      </c>
      <c r="X106" s="129">
        <f t="shared" ca="1" si="75"/>
        <v>6641701.7886531167</v>
      </c>
      <c r="Y106" s="129">
        <f t="shared" ca="1" si="75"/>
        <v>6709946.2174374014</v>
      </c>
      <c r="Z106" s="129">
        <f t="shared" ca="1" si="75"/>
        <v>6759796.0485053752</v>
      </c>
    </row>
    <row r="108" spans="2:26" x14ac:dyDescent="0.35">
      <c r="B108" s="33" t="s">
        <v>395</v>
      </c>
      <c r="F108" s="34">
        <f>+F97*Assumptions!$O$123*'Phase II Pro Forma'!F101</f>
        <v>0</v>
      </c>
      <c r="G108" s="34">
        <f>+G97*Assumptions!$O$123*'Phase II Pro Forma'!G101</f>
        <v>0</v>
      </c>
      <c r="H108" s="34">
        <f>+H97*Assumptions!$O$123*'Phase II Pro Forma'!H101</f>
        <v>0</v>
      </c>
      <c r="I108" s="34">
        <f>+I97*Assumptions!$O$123*'Phase II Pro Forma'!I101</f>
        <v>575273.45643089851</v>
      </c>
      <c r="J108" s="34">
        <f>+J97*Assumptions!$O$123*'Phase II Pro Forma'!J101</f>
        <v>1185063.3202476511</v>
      </c>
      <c r="K108" s="34">
        <f>+K97*Assumptions!$O$123*'Phase II Pro Forma'!K101</f>
        <v>1220615.2198550806</v>
      </c>
      <c r="L108" s="34">
        <f>+L97*Assumptions!$O$123*'Phase II Pro Forma'!L101</f>
        <v>1257233.6764507331</v>
      </c>
      <c r="M108" s="34">
        <f>+M97*Assumptions!$O$123*'Phase II Pro Forma'!M101</f>
        <v>1294950.6867442552</v>
      </c>
      <c r="N108" s="34">
        <f>+N97*Assumptions!$O$123*'Phase II Pro Forma'!N101</f>
        <v>1333799.2073465828</v>
      </c>
      <c r="O108" s="34">
        <f>+O97*Assumptions!$O$123*'Phase II Pro Forma'!O101</f>
        <v>1373813.1835669803</v>
      </c>
      <c r="P108" s="34">
        <f>+P97*Assumptions!$O$123*'Phase II Pro Forma'!P101</f>
        <v>1415027.5790739898</v>
      </c>
      <c r="Q108" s="34">
        <f>+Q97*Assumptions!$O$123*'Phase II Pro Forma'!Q101</f>
        <v>1457478.4064462094</v>
      </c>
      <c r="R108" s="34">
        <f>+R97*Assumptions!$O$123*'Phase II Pro Forma'!R101</f>
        <v>1501202.7586395957</v>
      </c>
      <c r="S108" s="34">
        <f>+S97*Assumptions!$O$123*'Phase II Pro Forma'!S101</f>
        <v>1546238.8413987837</v>
      </c>
      <c r="T108" s="34">
        <f>+T97*Assumptions!$O$123*'Phase II Pro Forma'!T101</f>
        <v>1592626.0066407474</v>
      </c>
      <c r="U108" s="34">
        <f>+U97*Assumptions!$O$123*'Phase II Pro Forma'!U101</f>
        <v>1640404.7868399699</v>
      </c>
      <c r="V108" s="34">
        <f>+V97*Assumptions!$O$123*'Phase II Pro Forma'!V101</f>
        <v>1689616.9304451691</v>
      </c>
      <c r="W108" s="34">
        <f>+W97*Assumptions!$O$123*'Phase II Pro Forma'!W101</f>
        <v>1740305.4383585241</v>
      </c>
      <c r="X108" s="34">
        <f>+X97*Assumptions!$O$123*'Phase II Pro Forma'!X101</f>
        <v>1792514.60150928</v>
      </c>
      <c r="Y108" s="34">
        <f>+Y97*Assumptions!$O$123*'Phase II Pro Forma'!Y101</f>
        <v>1846290.0395545585</v>
      </c>
      <c r="Z108" s="34">
        <f>+Z97*Assumptions!$O$123*'Phase II Pro Forma'!Z101</f>
        <v>1901678.7407411954</v>
      </c>
    </row>
    <row r="109" spans="2:26" x14ac:dyDescent="0.35">
      <c r="B109" s="33" t="s">
        <v>331</v>
      </c>
      <c r="F109" s="151">
        <f ca="1">+IFERROR(INDEX('Taxes and TIF'!$AC$11:$AC$45,MATCH('Phase II Pro Forma'!F$7,'Taxes and TIF'!$R$11:$R$45,0)),0)*'Loan Sizing'!$K$19*F98</f>
        <v>0</v>
      </c>
      <c r="G109" s="151">
        <f ca="1">+IFERROR(INDEX('Taxes and TIF'!$AC$11:$AC$45,MATCH('Phase II Pro Forma'!G$7,'Taxes and TIF'!$R$11:$R$45,0)),0)*'Loan Sizing'!$K$19*G98</f>
        <v>0</v>
      </c>
      <c r="H109" s="151">
        <f ca="1">+IFERROR(INDEX('Taxes and TIF'!$AC$11:$AC$45,MATCH('Phase II Pro Forma'!H$7,'Taxes and TIF'!$R$11:$R$45,0)),0)*'Loan Sizing'!$K$19*H98</f>
        <v>0</v>
      </c>
      <c r="I109" s="151">
        <f ca="1">+IFERROR(INDEX('Taxes and TIF'!$AC$11:$AC$45,MATCH('Phase II Pro Forma'!I$7,'Taxes and TIF'!$R$11:$R$45,0)),0)*'Loan Sizing'!$K$19*I98</f>
        <v>499322.71678978193</v>
      </c>
      <c r="J109" s="151">
        <f ca="1">+IFERROR(INDEX('Taxes and TIF'!$AC$11:$AC$45,MATCH('Phase II Pro Forma'!J$7,'Taxes and TIF'!$R$11:$R$45,0)),0)*'Loan Sizing'!$K$19*J98</f>
        <v>1018618.3422511551</v>
      </c>
      <c r="K109" s="151">
        <f ca="1">+IFERROR(INDEX('Taxes and TIF'!$AC$11:$AC$45,MATCH('Phase II Pro Forma'!K$7,'Taxes and TIF'!$R$11:$R$45,0)),0)*'Loan Sizing'!$K$19*K98</f>
        <v>1018618.3422511551</v>
      </c>
      <c r="L109" s="151">
        <f ca="1">+IFERROR(INDEX('Taxes and TIF'!$AC$11:$AC$45,MATCH('Phase II Pro Forma'!L$7,'Taxes and TIF'!$R$11:$R$45,0)),0)*'Loan Sizing'!$K$19*L98</f>
        <v>1018618.3422511551</v>
      </c>
      <c r="M109" s="151">
        <f ca="1">+IFERROR(INDEX('Taxes and TIF'!$AC$11:$AC$45,MATCH('Phase II Pro Forma'!M$7,'Taxes and TIF'!$R$11:$R$45,0)),0)*'Loan Sizing'!$K$19*M98</f>
        <v>1038990.7090961782</v>
      </c>
      <c r="N109" s="151">
        <f ca="1">+IFERROR(INDEX('Taxes and TIF'!$AC$11:$AC$45,MATCH('Phase II Pro Forma'!N$7,'Taxes and TIF'!$R$11:$R$45,0)),0)*'Loan Sizing'!$K$19*N98</f>
        <v>1038990.7090961782</v>
      </c>
      <c r="O109" s="151">
        <f ca="1">+IFERROR(INDEX('Taxes and TIF'!$AC$11:$AC$45,MATCH('Phase II Pro Forma'!O$7,'Taxes and TIF'!$R$11:$R$45,0)),0)*'Loan Sizing'!$K$19*O98</f>
        <v>1038990.7090961782</v>
      </c>
      <c r="P109" s="151">
        <f ca="1">+IFERROR(INDEX('Taxes and TIF'!$AC$11:$AC$45,MATCH('Phase II Pro Forma'!P$7,'Taxes and TIF'!$R$11:$R$45,0)),0)*'Loan Sizing'!$K$19*P98</f>
        <v>1059770.5232781018</v>
      </c>
      <c r="Q109" s="151">
        <f ca="1">+IFERROR(INDEX('Taxes and TIF'!$AC$11:$AC$45,MATCH('Phase II Pro Forma'!Q$7,'Taxes and TIF'!$R$11:$R$45,0)),0)*'Loan Sizing'!$K$19*Q98</f>
        <v>1059770.5232781018</v>
      </c>
      <c r="R109" s="151">
        <f ca="1">+IFERROR(INDEX('Taxes and TIF'!$AC$11:$AC$45,MATCH('Phase II Pro Forma'!R$7,'Taxes and TIF'!$R$11:$R$45,0)),0)*'Loan Sizing'!$K$19*R98</f>
        <v>1059770.5232781018</v>
      </c>
      <c r="S109" s="151">
        <f ca="1">+IFERROR(INDEX('Taxes and TIF'!$AC$11:$AC$45,MATCH('Phase II Pro Forma'!S$7,'Taxes and TIF'!$R$11:$R$45,0)),0)*'Loan Sizing'!$K$19*S98</f>
        <v>1080965.9337436638</v>
      </c>
      <c r="T109" s="151">
        <f ca="1">+IFERROR(INDEX('Taxes and TIF'!$AC$11:$AC$45,MATCH('Phase II Pro Forma'!T$7,'Taxes and TIF'!$R$11:$R$45,0)),0)*'Loan Sizing'!$K$19*T98</f>
        <v>1080965.9337436638</v>
      </c>
      <c r="U109" s="151">
        <f ca="1">+IFERROR(INDEX('Taxes and TIF'!$AC$11:$AC$45,MATCH('Phase II Pro Forma'!U$7,'Taxes and TIF'!$R$11:$R$45,0)),0)*'Loan Sizing'!$K$19*U98</f>
        <v>1080965.9337436638</v>
      </c>
      <c r="V109" s="151">
        <f ca="1">+IFERROR(INDEX('Taxes and TIF'!$AC$11:$AC$45,MATCH('Phase II Pro Forma'!V$7,'Taxes and TIF'!$R$11:$R$45,0)),0)*'Loan Sizing'!$K$19*V98</f>
        <v>1102585.2524185372</v>
      </c>
      <c r="W109" s="151">
        <f ca="1">+IFERROR(INDEX('Taxes and TIF'!$AC$11:$AC$45,MATCH('Phase II Pro Forma'!W$7,'Taxes and TIF'!$R$11:$R$45,0)),0)*'Loan Sizing'!$K$19*W98</f>
        <v>1102585.2524185372</v>
      </c>
      <c r="X109" s="151">
        <f ca="1">+IFERROR(INDEX('Taxes and TIF'!$AC$11:$AC$45,MATCH('Phase II Pro Forma'!X$7,'Taxes and TIF'!$R$11:$R$45,0)),0)*'Loan Sizing'!$K$19*X98</f>
        <v>1102585.2524185372</v>
      </c>
      <c r="Y109" s="151">
        <f ca="1">+IFERROR(INDEX('Taxes and TIF'!$AC$11:$AC$45,MATCH('Phase II Pro Forma'!Y$7,'Taxes and TIF'!$R$11:$R$45,0)),0)*'Loan Sizing'!$K$19*Y98</f>
        <v>1124636.957466908</v>
      </c>
      <c r="Z109" s="151">
        <f ca="1">+IFERROR(INDEX('Taxes and TIF'!$AC$11:$AC$45,MATCH('Phase II Pro Forma'!Z$7,'Taxes and TIF'!$R$11:$R$45,0)),0)*'Loan Sizing'!$K$19*Z98</f>
        <v>1124636.957466908</v>
      </c>
    </row>
    <row r="110" spans="2:26" x14ac:dyDescent="0.35">
      <c r="B110" s="137" t="s">
        <v>252</v>
      </c>
      <c r="C110" s="137"/>
      <c r="D110" s="137"/>
      <c r="E110" s="137"/>
      <c r="F110" s="129">
        <f ca="1">+SUM(F108:F109)</f>
        <v>0</v>
      </c>
      <c r="G110" s="129">
        <f t="shared" ref="G110" ca="1" si="76">+SUM(G108:G109)</f>
        <v>0</v>
      </c>
      <c r="H110" s="129">
        <f t="shared" ref="H110:Z110" ca="1" si="77">+SUM(H108:H109)</f>
        <v>0</v>
      </c>
      <c r="I110" s="129">
        <f t="shared" ca="1" si="77"/>
        <v>1074596.1732206806</v>
      </c>
      <c r="J110" s="129">
        <f t="shared" ca="1" si="77"/>
        <v>2203681.6624988061</v>
      </c>
      <c r="K110" s="129">
        <f t="shared" ca="1" si="77"/>
        <v>2239233.5621062359</v>
      </c>
      <c r="L110" s="129">
        <f t="shared" ca="1" si="77"/>
        <v>2275852.0187018882</v>
      </c>
      <c r="M110" s="129">
        <f t="shared" ca="1" si="77"/>
        <v>2333941.3958404334</v>
      </c>
      <c r="N110" s="129">
        <f t="shared" ca="1" si="77"/>
        <v>2372789.9164427612</v>
      </c>
      <c r="O110" s="129">
        <f t="shared" ca="1" si="77"/>
        <v>2412803.8926631585</v>
      </c>
      <c r="P110" s="129">
        <f t="shared" ca="1" si="77"/>
        <v>2474798.1023520916</v>
      </c>
      <c r="Q110" s="129">
        <f t="shared" ca="1" si="77"/>
        <v>2517248.9297243115</v>
      </c>
      <c r="R110" s="129">
        <f t="shared" ca="1" si="77"/>
        <v>2560973.2819176978</v>
      </c>
      <c r="S110" s="129">
        <f t="shared" ca="1" si="77"/>
        <v>2627204.7751424476</v>
      </c>
      <c r="T110" s="129">
        <f t="shared" ca="1" si="77"/>
        <v>2673591.9403844113</v>
      </c>
      <c r="U110" s="129">
        <f t="shared" ca="1" si="77"/>
        <v>2721370.7205836335</v>
      </c>
      <c r="V110" s="129">
        <f t="shared" ca="1" si="77"/>
        <v>2792202.1828637063</v>
      </c>
      <c r="W110" s="129">
        <f t="shared" ca="1" si="77"/>
        <v>2842890.6907770615</v>
      </c>
      <c r="X110" s="129">
        <f t="shared" ca="1" si="77"/>
        <v>2895099.8539278172</v>
      </c>
      <c r="Y110" s="129">
        <f t="shared" ca="1" si="77"/>
        <v>2970926.9970214665</v>
      </c>
      <c r="Z110" s="129">
        <f t="shared" ca="1" si="77"/>
        <v>3026315.6982081034</v>
      </c>
    </row>
    <row r="111" spans="2:26" x14ac:dyDescent="0.35">
      <c r="B111" s="33"/>
    </row>
    <row r="112" spans="2:26" x14ac:dyDescent="0.35">
      <c r="B112" s="138" t="s">
        <v>251</v>
      </c>
      <c r="C112" s="138"/>
      <c r="D112" s="138"/>
      <c r="E112" s="138"/>
      <c r="F112" s="139">
        <f ca="1">+F106-F110</f>
        <v>0</v>
      </c>
      <c r="G112" s="139">
        <f t="shared" ref="G112:Z112" ca="1" si="78">+G106-G110</f>
        <v>0</v>
      </c>
      <c r="H112" s="139">
        <f t="shared" ca="1" si="78"/>
        <v>0</v>
      </c>
      <c r="I112" s="139">
        <f t="shared" ca="1" si="78"/>
        <v>1408735.6945179319</v>
      </c>
      <c r="J112" s="139">
        <f t="shared" ca="1" si="78"/>
        <v>2812022.4574301201</v>
      </c>
      <c r="K112" s="139">
        <f t="shared" ca="1" si="78"/>
        <v>2808467.2674693763</v>
      </c>
      <c r="L112" s="139">
        <f t="shared" ca="1" si="78"/>
        <v>3108044.4841778115</v>
      </c>
      <c r="M112" s="139">
        <f t="shared" ca="1" si="78"/>
        <v>3102235.546463958</v>
      </c>
      <c r="N112" s="139">
        <f t="shared" ca="1" si="78"/>
        <v>3098350.6944037247</v>
      </c>
      <c r="O112" s="139">
        <f t="shared" ca="1" si="78"/>
        <v>3094349.2967816852</v>
      </c>
      <c r="P112" s="139">
        <f t="shared" ca="1" si="78"/>
        <v>3088149.8758127918</v>
      </c>
      <c r="Q112" s="139">
        <f t="shared" ca="1" si="78"/>
        <v>3417467.7616803693</v>
      </c>
      <c r="R112" s="139">
        <f t="shared" ca="1" si="78"/>
        <v>3413095.3264610311</v>
      </c>
      <c r="S112" s="139">
        <f t="shared" ca="1" si="78"/>
        <v>3406472.1771385563</v>
      </c>
      <c r="T112" s="139">
        <f t="shared" ca="1" si="78"/>
        <v>3401833.4606143599</v>
      </c>
      <c r="U112" s="139">
        <f t="shared" ca="1" si="78"/>
        <v>3397055.5825944366</v>
      </c>
      <c r="V112" s="139">
        <f t="shared" ca="1" si="78"/>
        <v>3756891.701831711</v>
      </c>
      <c r="W112" s="139">
        <f t="shared" ca="1" si="78"/>
        <v>3751822.8510403754</v>
      </c>
      <c r="X112" s="139">
        <f t="shared" ca="1" si="78"/>
        <v>3746601.9347252995</v>
      </c>
      <c r="Y112" s="139">
        <f t="shared" ca="1" si="78"/>
        <v>3739019.2204159349</v>
      </c>
      <c r="Z112" s="139">
        <f t="shared" ca="1" si="78"/>
        <v>3733480.3502972717</v>
      </c>
    </row>
    <row r="113" spans="2:26" x14ac:dyDescent="0.35">
      <c r="B113" s="143" t="s">
        <v>257</v>
      </c>
      <c r="C113" s="141"/>
      <c r="D113" s="141"/>
      <c r="E113" s="141"/>
      <c r="F113" s="144" t="str">
        <f ca="1">+IFERROR(F112/F106,"")</f>
        <v/>
      </c>
      <c r="G113" s="144" t="str">
        <f t="shared" ref="G113:Z113" ca="1" si="79">+IFERROR(G112/G106,"")</f>
        <v/>
      </c>
      <c r="H113" s="144" t="str">
        <f t="shared" ca="1" si="79"/>
        <v/>
      </c>
      <c r="I113" s="145">
        <f t="shared" ca="1" si="79"/>
        <v>0.56727645338871435</v>
      </c>
      <c r="J113" s="145">
        <f t="shared" ca="1" si="79"/>
        <v>0.56064360859267892</v>
      </c>
      <c r="K113" s="145">
        <f t="shared" ca="1" si="79"/>
        <v>0.55638544404492762</v>
      </c>
      <c r="L113" s="145">
        <f t="shared" ca="1" si="79"/>
        <v>0.57728533275396421</v>
      </c>
      <c r="M113" s="145">
        <f t="shared" ca="1" si="79"/>
        <v>0.57066493224720582</v>
      </c>
      <c r="N113" s="145">
        <f t="shared" ca="1" si="79"/>
        <v>0.56630799951682342</v>
      </c>
      <c r="O113" s="145">
        <f t="shared" ca="1" si="79"/>
        <v>0.56187819556434304</v>
      </c>
      <c r="P113" s="145">
        <f t="shared" ca="1" si="79"/>
        <v>0.55512830390183099</v>
      </c>
      <c r="Q113" s="145">
        <f t="shared" ca="1" si="79"/>
        <v>0.57584345460499031</v>
      </c>
      <c r="R113" s="145">
        <f t="shared" ca="1" si="79"/>
        <v>0.57131840127749944</v>
      </c>
      <c r="S113" s="145">
        <f t="shared" ca="1" si="79"/>
        <v>0.56457649358419082</v>
      </c>
      <c r="T113" s="145">
        <f t="shared" ca="1" si="79"/>
        <v>0.55993337685540745</v>
      </c>
      <c r="U113" s="145">
        <f t="shared" ca="1" si="79"/>
        <v>0.55521721015580716</v>
      </c>
      <c r="V113" s="145">
        <f t="shared" ca="1" si="79"/>
        <v>0.57365060998914585</v>
      </c>
      <c r="W113" s="145">
        <f t="shared" ca="1" si="79"/>
        <v>0.56891369537886105</v>
      </c>
      <c r="X113" s="145">
        <f t="shared" ca="1" si="79"/>
        <v>0.56410270348574021</v>
      </c>
      <c r="Y113" s="145">
        <f t="shared" ca="1" si="79"/>
        <v>0.55723534872741576</v>
      </c>
      <c r="Z113" s="145">
        <f t="shared" ca="1" si="79"/>
        <v>0.5523066559268105</v>
      </c>
    </row>
    <row r="114" spans="2:26" x14ac:dyDescent="0.35">
      <c r="B114" s="143" t="s">
        <v>191</v>
      </c>
      <c r="C114" s="141"/>
      <c r="D114" s="141"/>
      <c r="E114" s="141"/>
      <c r="F114" s="142">
        <f ca="1">+F112/Assumptions!$O$133</f>
        <v>0</v>
      </c>
      <c r="G114" s="142">
        <f ca="1">+G112/Assumptions!$O$133</f>
        <v>0</v>
      </c>
      <c r="H114" s="142">
        <f ca="1">+H112/Assumptions!$O$133</f>
        <v>0</v>
      </c>
      <c r="I114" s="142">
        <f ca="1">+I112/Assumptions!$O$133</f>
        <v>21672856.838737413</v>
      </c>
      <c r="J114" s="142">
        <f ca="1">+J112/Assumptions!$O$133</f>
        <v>43261883.960463382</v>
      </c>
      <c r="K114" s="142">
        <f ca="1">+K112/Assumptions!$O$133</f>
        <v>43207188.730298094</v>
      </c>
      <c r="L114" s="142">
        <f ca="1">+L112/Assumptions!$O$133</f>
        <v>47816068.987350948</v>
      </c>
      <c r="M114" s="142">
        <f ca="1">+M112/Assumptions!$O$133</f>
        <v>47726700.714830123</v>
      </c>
      <c r="N114" s="142">
        <f ca="1">+N112/Assumptions!$O$133</f>
        <v>47666933.7600573</v>
      </c>
      <c r="O114" s="142">
        <f ca="1">+O112/Assumptions!$O$133</f>
        <v>47605373.796641313</v>
      </c>
      <c r="P114" s="142">
        <f ca="1">+P112/Assumptions!$O$133</f>
        <v>47509998.089427561</v>
      </c>
      <c r="Q114" s="142">
        <f ca="1">+Q112/Assumptions!$O$133</f>
        <v>52576427.102774911</v>
      </c>
      <c r="R114" s="142">
        <f ca="1">+R112/Assumptions!$O$133</f>
        <v>52509158.868631244</v>
      </c>
      <c r="S114" s="142">
        <f ca="1">+S112/Assumptions!$O$133</f>
        <v>52407264.263670094</v>
      </c>
      <c r="T114" s="142">
        <f ca="1">+T112/Assumptions!$O$133</f>
        <v>52335899.394067071</v>
      </c>
      <c r="U114" s="142">
        <f ca="1">+U112/Assumptions!$O$133</f>
        <v>52262393.578375943</v>
      </c>
      <c r="V114" s="142">
        <f ca="1">+V112/Assumptions!$O$133</f>
        <v>57798333.874334015</v>
      </c>
      <c r="W114" s="142">
        <f ca="1">+W112/Assumptions!$O$133</f>
        <v>57720351.554467313</v>
      </c>
      <c r="X114" s="142">
        <f ca="1">+X112/Assumptions!$O$133</f>
        <v>57640029.765004605</v>
      </c>
      <c r="Y114" s="142">
        <f ca="1">+Y112/Assumptions!$O$133</f>
        <v>57523372.621783614</v>
      </c>
      <c r="Z114" s="142">
        <f ca="1">+Z112/Assumptions!$O$133</f>
        <v>57438159.235342637</v>
      </c>
    </row>
    <row r="116" spans="2:26" x14ac:dyDescent="0.35">
      <c r="B116" s="148" t="s">
        <v>224</v>
      </c>
      <c r="C116" s="149"/>
      <c r="D116" s="149"/>
      <c r="E116" s="149"/>
      <c r="F116" s="150">
        <f>+Assumptions!$G$22</f>
        <v>44926</v>
      </c>
      <c r="G116" s="150">
        <f>+EOMONTH(F116,12)</f>
        <v>45291</v>
      </c>
      <c r="H116" s="150">
        <f t="shared" ref="H116:Z116" si="80">+EOMONTH(G116,12)</f>
        <v>45657</v>
      </c>
      <c r="I116" s="150">
        <f t="shared" si="80"/>
        <v>46022</v>
      </c>
      <c r="J116" s="150">
        <f t="shared" si="80"/>
        <v>46387</v>
      </c>
      <c r="K116" s="150">
        <f t="shared" si="80"/>
        <v>46752</v>
      </c>
      <c r="L116" s="150">
        <f t="shared" si="80"/>
        <v>47118</v>
      </c>
      <c r="M116" s="150">
        <f t="shared" si="80"/>
        <v>47483</v>
      </c>
      <c r="N116" s="150">
        <f t="shared" si="80"/>
        <v>47848</v>
      </c>
      <c r="O116" s="150">
        <f t="shared" si="80"/>
        <v>48213</v>
      </c>
      <c r="P116" s="150">
        <f t="shared" si="80"/>
        <v>48579</v>
      </c>
      <c r="Q116" s="150">
        <f t="shared" si="80"/>
        <v>48944</v>
      </c>
      <c r="R116" s="150">
        <f t="shared" si="80"/>
        <v>49309</v>
      </c>
      <c r="S116" s="150">
        <f t="shared" si="80"/>
        <v>49674</v>
      </c>
      <c r="T116" s="150">
        <f t="shared" si="80"/>
        <v>50040</v>
      </c>
      <c r="U116" s="150">
        <f t="shared" si="80"/>
        <v>50405</v>
      </c>
      <c r="V116" s="150">
        <f t="shared" si="80"/>
        <v>50770</v>
      </c>
      <c r="W116" s="150">
        <f t="shared" si="80"/>
        <v>51135</v>
      </c>
      <c r="X116" s="150">
        <f t="shared" si="80"/>
        <v>51501</v>
      </c>
      <c r="Y116" s="150">
        <f t="shared" si="80"/>
        <v>51866</v>
      </c>
      <c r="Z116" s="150">
        <f t="shared" si="80"/>
        <v>52231</v>
      </c>
    </row>
    <row r="117" spans="2:26" x14ac:dyDescent="0.35">
      <c r="B117" s="33" t="s">
        <v>766</v>
      </c>
      <c r="C117" s="33"/>
      <c r="D117" s="40"/>
      <c r="E117" s="40"/>
      <c r="F117" s="42">
        <f>+IF(AND(F116&gt;=Assumptions!$G$26,F116&lt;Assumptions!$G$28),SUM(Assumptions!$G$204:$G$205)/ROUNDUP((Assumptions!$G$27/12),0),0)</f>
        <v>0</v>
      </c>
      <c r="G117" s="42">
        <f>+IF(AND(G116&gt;=Assumptions!$G$26,G116&lt;Assumptions!$G$28),SUM(Assumptions!$G$204:$G$205)/ROUNDUP((Assumptions!$G$27/12),0),0)</f>
        <v>0</v>
      </c>
      <c r="H117" s="42">
        <f>+IF(AND(H116&gt;=Assumptions!$G$26,H116&lt;Assumptions!$G$28),SUM(Assumptions!$G$204:$G$205)/ROUNDUP((Assumptions!$G$27/12),0),0)</f>
        <v>0</v>
      </c>
      <c r="I117" s="42">
        <f>+IF(AND(I116&gt;=Assumptions!$G$26,I116&lt;Assumptions!$G$28),SUM(Assumptions!$G$204:$G$205)/ROUNDUP((Assumptions!$G$27/12),0),0)</f>
        <v>52999.999999999993</v>
      </c>
      <c r="J117" s="42">
        <f>+IF(AND(J116&gt;=Assumptions!$G$26,J116&lt;Assumptions!$G$28),SUM(Assumptions!$G$204:$G$205)/ROUNDUP((Assumptions!$G$27/12),0),0)</f>
        <v>52999.999999999993</v>
      </c>
      <c r="K117" s="42">
        <f>+IF(AND(K116&gt;=Assumptions!$G$26,K116&lt;Assumptions!$G$28),SUM(Assumptions!$G$204:$G$205)/ROUNDUP((Assumptions!$G$27/12),0),0)</f>
        <v>0</v>
      </c>
      <c r="L117" s="42">
        <f>+IF(AND(L116&gt;=Assumptions!$G$26,L116&lt;Assumptions!$G$28),SUM(Assumptions!$G$204:$G$205)/ROUNDUP((Assumptions!$G$27/12),0),0)</f>
        <v>0</v>
      </c>
      <c r="M117" s="42">
        <f>+IF(AND(M116&gt;=Assumptions!$G$26,M116&lt;Assumptions!$G$28),SUM(Assumptions!$G$204:$G$205)/ROUNDUP((Assumptions!$G$27/12),0),0)</f>
        <v>0</v>
      </c>
      <c r="N117" s="42">
        <f>+IF(AND(N116&gt;=Assumptions!$G$26,N116&lt;Assumptions!$G$28),SUM(Assumptions!$G$204:$G$205)/ROUNDUP((Assumptions!$G$27/12),0),0)</f>
        <v>0</v>
      </c>
      <c r="O117" s="42">
        <f>+IF(AND(O116&gt;=Assumptions!$G$26,O116&lt;Assumptions!$G$28),SUM(Assumptions!$G$204:$G$205)/ROUNDUP((Assumptions!$G$27/12),0),0)</f>
        <v>0</v>
      </c>
      <c r="P117" s="42">
        <f>+IF(AND(P116&gt;=Assumptions!$G$26,P116&lt;Assumptions!$G$28),SUM(Assumptions!$G$204:$G$205)/ROUNDUP((Assumptions!$G$27/12),0),0)</f>
        <v>0</v>
      </c>
      <c r="Q117" s="42">
        <f>+IF(AND(Q116&gt;=Assumptions!$G$26,Q116&lt;Assumptions!$G$28),SUM(Assumptions!$G$204:$G$205)/ROUNDUP((Assumptions!$G$27/12),0),0)</f>
        <v>0</v>
      </c>
      <c r="R117" s="42">
        <f>+IF(AND(R116&gt;=Assumptions!$G$26,R116&lt;Assumptions!$G$28),SUM(Assumptions!$G$204:$G$205)/ROUNDUP((Assumptions!$G$27/12),0),0)</f>
        <v>0</v>
      </c>
      <c r="S117" s="42">
        <f>+IF(AND(S116&gt;=Assumptions!$G$26,S116&lt;Assumptions!$G$28),SUM(Assumptions!$G$204:$G$205)/ROUNDUP((Assumptions!$G$27/12),0),0)</f>
        <v>0</v>
      </c>
      <c r="T117" s="42">
        <f>+IF(AND(T116&gt;=Assumptions!$G$26,T116&lt;Assumptions!$G$28),SUM(Assumptions!$G$204:$G$205)/ROUNDUP((Assumptions!$G$27/12),0),0)</f>
        <v>0</v>
      </c>
      <c r="U117" s="42">
        <f>+IF(AND(U116&gt;=Assumptions!$G$26,U116&lt;Assumptions!$G$28),SUM(Assumptions!$G$204:$G$205)/ROUNDUP((Assumptions!$G$27/12),0),0)</f>
        <v>0</v>
      </c>
      <c r="V117" s="42">
        <f>+IF(AND(V116&gt;=Assumptions!$G$26,V116&lt;Assumptions!$G$28),SUM(Assumptions!$G$204:$G$205)/ROUNDUP((Assumptions!$G$27/12),0),0)</f>
        <v>0</v>
      </c>
      <c r="W117" s="42">
        <f>+IF(AND(W116&gt;=Assumptions!$G$26,W116&lt;Assumptions!$G$28),SUM(Assumptions!$G$204:$G$205)/ROUNDUP((Assumptions!$G$27/12),0),0)</f>
        <v>0</v>
      </c>
      <c r="X117" s="42">
        <f>+IF(AND(X116&gt;=Assumptions!$G$26,X116&lt;Assumptions!$G$28),SUM(Assumptions!$G$204:$G$205)/ROUNDUP((Assumptions!$G$27/12),0),0)</f>
        <v>0</v>
      </c>
      <c r="Y117" s="42">
        <f>+IF(AND(Y116&gt;=Assumptions!$G$26,Y116&lt;Assumptions!$G$28),SUM(Assumptions!$G$204:$G$205)/ROUNDUP((Assumptions!$G$27/12),0),0)</f>
        <v>0</v>
      </c>
      <c r="Z117" s="42">
        <f>+IF(AND(Z116&gt;=Assumptions!$G$26,Z116&lt;Assumptions!$G$28),SUM(Assumptions!$G$204:$G$205)/ROUNDUP((Assumptions!$G$27/12),0),0)</f>
        <v>0</v>
      </c>
    </row>
    <row r="118" spans="2:26" x14ac:dyDescent="0.35">
      <c r="B118" s="33" t="s">
        <v>496</v>
      </c>
      <c r="C118" s="33"/>
      <c r="D118" s="42"/>
      <c r="E118" s="42"/>
      <c r="F118" s="42">
        <f>+F119-E119</f>
        <v>0</v>
      </c>
      <c r="G118" s="42">
        <f t="shared" ref="G118:Z118" si="81">+G119-F119</f>
        <v>0</v>
      </c>
      <c r="H118" s="42">
        <f t="shared" si="81"/>
        <v>0</v>
      </c>
      <c r="I118" s="42">
        <f t="shared" si="81"/>
        <v>160.60606060606059</v>
      </c>
      <c r="J118" s="42">
        <f t="shared" si="81"/>
        <v>160.60606060606059</v>
      </c>
      <c r="K118" s="42">
        <f t="shared" si="81"/>
        <v>0</v>
      </c>
      <c r="L118" s="42">
        <f t="shared" si="81"/>
        <v>0</v>
      </c>
      <c r="M118" s="42">
        <f t="shared" si="81"/>
        <v>0</v>
      </c>
      <c r="N118" s="42">
        <f t="shared" si="81"/>
        <v>0</v>
      </c>
      <c r="O118" s="42">
        <f t="shared" si="81"/>
        <v>0</v>
      </c>
      <c r="P118" s="42">
        <f t="shared" si="81"/>
        <v>0</v>
      </c>
      <c r="Q118" s="42">
        <f t="shared" si="81"/>
        <v>0</v>
      </c>
      <c r="R118" s="42">
        <f t="shared" si="81"/>
        <v>0</v>
      </c>
      <c r="S118" s="42">
        <f t="shared" si="81"/>
        <v>0</v>
      </c>
      <c r="T118" s="42">
        <f t="shared" si="81"/>
        <v>0</v>
      </c>
      <c r="U118" s="42">
        <f t="shared" si="81"/>
        <v>0</v>
      </c>
      <c r="V118" s="42">
        <f t="shared" si="81"/>
        <v>0</v>
      </c>
      <c r="W118" s="42">
        <f t="shared" si="81"/>
        <v>0</v>
      </c>
      <c r="X118" s="42">
        <f t="shared" si="81"/>
        <v>0</v>
      </c>
      <c r="Y118" s="42">
        <f t="shared" si="81"/>
        <v>0</v>
      </c>
      <c r="Z118" s="42">
        <f t="shared" si="81"/>
        <v>0</v>
      </c>
    </row>
    <row r="119" spans="2:26" x14ac:dyDescent="0.35">
      <c r="B119" s="33" t="s">
        <v>250</v>
      </c>
      <c r="C119" s="33"/>
      <c r="D119" s="40"/>
      <c r="E119" s="40"/>
      <c r="F119" s="42">
        <f>+F121*SUM(Assumptions!$O$49:$O$50)</f>
        <v>0</v>
      </c>
      <c r="G119" s="42">
        <f>+G121*SUM(Assumptions!$O$49:$O$50)</f>
        <v>0</v>
      </c>
      <c r="H119" s="42">
        <f>+H121*SUM(Assumptions!$O$49:$O$50)</f>
        <v>0</v>
      </c>
      <c r="I119" s="42">
        <f>+I121*SUM(Assumptions!$O$49:$O$50)</f>
        <v>160.60606060606059</v>
      </c>
      <c r="J119" s="42">
        <f>+J121*SUM(Assumptions!$O$49:$O$50)</f>
        <v>321.21212121212119</v>
      </c>
      <c r="K119" s="42">
        <f>+K121*SUM(Assumptions!$O$49:$O$50)</f>
        <v>321.21212121212119</v>
      </c>
      <c r="L119" s="42">
        <f>+L121*SUM(Assumptions!$O$49:$O$50)</f>
        <v>321.21212121212119</v>
      </c>
      <c r="M119" s="42">
        <f>+M121*SUM(Assumptions!$O$49:$O$50)</f>
        <v>321.21212121212119</v>
      </c>
      <c r="N119" s="42">
        <f>+N121*SUM(Assumptions!$O$49:$O$50)</f>
        <v>321.21212121212119</v>
      </c>
      <c r="O119" s="42">
        <f>+O121*SUM(Assumptions!$O$49:$O$50)</f>
        <v>321.21212121212119</v>
      </c>
      <c r="P119" s="42">
        <f>+P121*SUM(Assumptions!$O$49:$O$50)</f>
        <v>321.21212121212119</v>
      </c>
      <c r="Q119" s="42">
        <f>+Q121*SUM(Assumptions!$O$49:$O$50)</f>
        <v>321.21212121212119</v>
      </c>
      <c r="R119" s="42">
        <f>+R121*SUM(Assumptions!$O$49:$O$50)</f>
        <v>321.21212121212119</v>
      </c>
      <c r="S119" s="42">
        <f>+S121*SUM(Assumptions!$O$49:$O$50)</f>
        <v>321.21212121212119</v>
      </c>
      <c r="T119" s="42">
        <f>+T121*SUM(Assumptions!$O$49:$O$50)</f>
        <v>321.21212121212119</v>
      </c>
      <c r="U119" s="42">
        <f>+U121*SUM(Assumptions!$O$49:$O$50)</f>
        <v>321.21212121212119</v>
      </c>
      <c r="V119" s="42">
        <f>+V121*SUM(Assumptions!$O$49:$O$50)</f>
        <v>321.21212121212119</v>
      </c>
      <c r="W119" s="42">
        <f>+W121*SUM(Assumptions!$O$49:$O$50)</f>
        <v>321.21212121212119</v>
      </c>
      <c r="X119" s="42">
        <f>+X121*SUM(Assumptions!$O$49:$O$50)</f>
        <v>321.21212121212119</v>
      </c>
      <c r="Y119" s="42">
        <f>+Y121*SUM(Assumptions!$O$49:$O$50)</f>
        <v>321.21212121212119</v>
      </c>
      <c r="Z119" s="42">
        <f>+Z121*SUM(Assumptions!$O$49:$O$50)</f>
        <v>321.21212121212119</v>
      </c>
    </row>
    <row r="120" spans="2:26" x14ac:dyDescent="0.35">
      <c r="B120" s="33" t="s">
        <v>249</v>
      </c>
      <c r="C120" s="33"/>
      <c r="D120" s="42">
        <v>0</v>
      </c>
      <c r="E120" s="42"/>
      <c r="F120" s="42">
        <f>+D120+F117</f>
        <v>0</v>
      </c>
      <c r="G120" s="42">
        <f t="shared" ref="G120:Z120" si="82">+F120+G117</f>
        <v>0</v>
      </c>
      <c r="H120" s="42">
        <f t="shared" si="82"/>
        <v>0</v>
      </c>
      <c r="I120" s="42">
        <f t="shared" si="82"/>
        <v>52999.999999999993</v>
      </c>
      <c r="J120" s="42">
        <f t="shared" si="82"/>
        <v>105999.99999999999</v>
      </c>
      <c r="K120" s="42">
        <f t="shared" si="82"/>
        <v>105999.99999999999</v>
      </c>
      <c r="L120" s="42">
        <f t="shared" si="82"/>
        <v>105999.99999999999</v>
      </c>
      <c r="M120" s="42">
        <f t="shared" si="82"/>
        <v>105999.99999999999</v>
      </c>
      <c r="N120" s="42">
        <f t="shared" si="82"/>
        <v>105999.99999999999</v>
      </c>
      <c r="O120" s="42">
        <f t="shared" si="82"/>
        <v>105999.99999999999</v>
      </c>
      <c r="P120" s="42">
        <f t="shared" si="82"/>
        <v>105999.99999999999</v>
      </c>
      <c r="Q120" s="42">
        <f t="shared" si="82"/>
        <v>105999.99999999999</v>
      </c>
      <c r="R120" s="42">
        <f t="shared" si="82"/>
        <v>105999.99999999999</v>
      </c>
      <c r="S120" s="42">
        <f t="shared" si="82"/>
        <v>105999.99999999999</v>
      </c>
      <c r="T120" s="42">
        <f t="shared" si="82"/>
        <v>105999.99999999999</v>
      </c>
      <c r="U120" s="42">
        <f t="shared" si="82"/>
        <v>105999.99999999999</v>
      </c>
      <c r="V120" s="42">
        <f t="shared" si="82"/>
        <v>105999.99999999999</v>
      </c>
      <c r="W120" s="42">
        <f t="shared" si="82"/>
        <v>105999.99999999999</v>
      </c>
      <c r="X120" s="42">
        <f t="shared" si="82"/>
        <v>105999.99999999999</v>
      </c>
      <c r="Y120" s="42">
        <f t="shared" si="82"/>
        <v>105999.99999999999</v>
      </c>
      <c r="Z120" s="42">
        <f t="shared" si="82"/>
        <v>105999.99999999999</v>
      </c>
    </row>
    <row r="121" spans="2:26" x14ac:dyDescent="0.35">
      <c r="B121" s="33" t="s">
        <v>306</v>
      </c>
      <c r="C121" s="33"/>
      <c r="D121" s="42"/>
      <c r="E121" s="42"/>
      <c r="F121" s="108">
        <f t="shared" ref="F121:Z121" si="83">+F120/SUM($F117:$Z117)</f>
        <v>0</v>
      </c>
      <c r="G121" s="108">
        <f t="shared" si="83"/>
        <v>0</v>
      </c>
      <c r="H121" s="108">
        <f t="shared" si="83"/>
        <v>0</v>
      </c>
      <c r="I121" s="108">
        <f t="shared" si="83"/>
        <v>0.5</v>
      </c>
      <c r="J121" s="108">
        <f t="shared" si="83"/>
        <v>1</v>
      </c>
      <c r="K121" s="108">
        <f t="shared" si="83"/>
        <v>1</v>
      </c>
      <c r="L121" s="108">
        <f t="shared" si="83"/>
        <v>1</v>
      </c>
      <c r="M121" s="108">
        <f t="shared" si="83"/>
        <v>1</v>
      </c>
      <c r="N121" s="108">
        <f t="shared" si="83"/>
        <v>1</v>
      </c>
      <c r="O121" s="108">
        <f t="shared" si="83"/>
        <v>1</v>
      </c>
      <c r="P121" s="108">
        <f t="shared" si="83"/>
        <v>1</v>
      </c>
      <c r="Q121" s="108">
        <f t="shared" si="83"/>
        <v>1</v>
      </c>
      <c r="R121" s="108">
        <f t="shared" si="83"/>
        <v>1</v>
      </c>
      <c r="S121" s="108">
        <f t="shared" si="83"/>
        <v>1</v>
      </c>
      <c r="T121" s="108">
        <f t="shared" si="83"/>
        <v>1</v>
      </c>
      <c r="U121" s="108">
        <f t="shared" si="83"/>
        <v>1</v>
      </c>
      <c r="V121" s="108">
        <f t="shared" si="83"/>
        <v>1</v>
      </c>
      <c r="W121" s="108">
        <f t="shared" si="83"/>
        <v>1</v>
      </c>
      <c r="X121" s="108">
        <f t="shared" si="83"/>
        <v>1</v>
      </c>
      <c r="Y121" s="108">
        <f t="shared" si="83"/>
        <v>1</v>
      </c>
      <c r="Z121" s="108">
        <f t="shared" si="83"/>
        <v>1</v>
      </c>
    </row>
    <row r="122" spans="2:26" x14ac:dyDescent="0.35">
      <c r="B122" s="33"/>
      <c r="C122" s="33"/>
      <c r="D122" s="40"/>
      <c r="E122" s="40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2:26" x14ac:dyDescent="0.35">
      <c r="B123" s="33" t="s">
        <v>254</v>
      </c>
      <c r="C123" s="33"/>
      <c r="D123" s="42"/>
      <c r="E123" s="42"/>
      <c r="F123" s="108">
        <v>1</v>
      </c>
      <c r="G123" s="108">
        <f>+F123*(1+Assumptions!$O$74)</f>
        <v>1.02</v>
      </c>
      <c r="H123" s="108">
        <f>+G123*(1+Assumptions!$O$74)</f>
        <v>1.0404</v>
      </c>
      <c r="I123" s="108">
        <f>+H123*(1+Assumptions!$O$74)</f>
        <v>1.0612079999999999</v>
      </c>
      <c r="J123" s="108">
        <f>+I123*(1+Assumptions!$O$74)</f>
        <v>1.08243216</v>
      </c>
      <c r="K123" s="108">
        <f>+J123*(1+Assumptions!$O$74)</f>
        <v>1.1040808032</v>
      </c>
      <c r="L123" s="108">
        <f>+K123*(1+Assumptions!$O$74)</f>
        <v>1.1261624192640001</v>
      </c>
      <c r="M123" s="108">
        <f>+L123*(1+Assumptions!$O$74)</f>
        <v>1.14868566764928</v>
      </c>
      <c r="N123" s="108">
        <f>+M123*(1+Assumptions!$O$74)</f>
        <v>1.1716593810022657</v>
      </c>
      <c r="O123" s="108">
        <f>+N123*(1+Assumptions!$O$74)</f>
        <v>1.1950925686223111</v>
      </c>
      <c r="P123" s="108">
        <f>+O123*(1+Assumptions!$O$74)</f>
        <v>1.2189944199947573</v>
      </c>
      <c r="Q123" s="108">
        <f>+P123*(1+Assumptions!$O$74)</f>
        <v>1.2433743083946525</v>
      </c>
      <c r="R123" s="108">
        <f>+Q123*(1+Assumptions!$O$74)</f>
        <v>1.2682417945625455</v>
      </c>
      <c r="S123" s="108">
        <f>+R123*(1+Assumptions!$O$74)</f>
        <v>1.2936066304537963</v>
      </c>
      <c r="T123" s="108">
        <f>+S123*(1+Assumptions!$O$74)</f>
        <v>1.3194787630628724</v>
      </c>
      <c r="U123" s="108">
        <f>+T123*(1+Assumptions!$O$74)</f>
        <v>1.3458683383241299</v>
      </c>
      <c r="V123" s="108">
        <f>+U123*(1+Assumptions!$O$74)</f>
        <v>1.3727857050906125</v>
      </c>
      <c r="W123" s="108">
        <f>+V123*(1+Assumptions!$O$74)</f>
        <v>1.4002414191924248</v>
      </c>
      <c r="X123" s="108">
        <f>+W123*(1+Assumptions!$O$74)</f>
        <v>1.4282462475762734</v>
      </c>
      <c r="Y123" s="108">
        <f>+X123*(1+Assumptions!$O$74)</f>
        <v>1.4568111725277988</v>
      </c>
      <c r="Z123" s="108">
        <f>+Y123*(1+Assumptions!$O$74)</f>
        <v>1.4859473959783549</v>
      </c>
    </row>
    <row r="124" spans="2:26" x14ac:dyDescent="0.35">
      <c r="B124" s="33" t="s">
        <v>255</v>
      </c>
      <c r="C124" s="33"/>
      <c r="D124" s="42"/>
      <c r="E124" s="42"/>
      <c r="F124" s="108">
        <v>1</v>
      </c>
      <c r="G124" s="108">
        <f>+F124*(1+Assumptions!$O$82)</f>
        <v>1.03</v>
      </c>
      <c r="H124" s="108">
        <f>+G124*(1+Assumptions!$O$82)</f>
        <v>1.0609</v>
      </c>
      <c r="I124" s="108">
        <f>+H124*(1+Assumptions!$O$82)</f>
        <v>1.092727</v>
      </c>
      <c r="J124" s="108">
        <f>+I124*(1+Assumptions!$O$82)</f>
        <v>1.1255088100000001</v>
      </c>
      <c r="K124" s="108">
        <f>+J124*(1+Assumptions!$O$82)</f>
        <v>1.1592740743000001</v>
      </c>
      <c r="L124" s="108">
        <f>+K124*(1+Assumptions!$O$82)</f>
        <v>1.1940522965290001</v>
      </c>
      <c r="M124" s="108">
        <f>+L124*(1+Assumptions!$O$82)</f>
        <v>1.2298738654248702</v>
      </c>
      <c r="N124" s="108">
        <f>+M124*(1+Assumptions!$O$82)</f>
        <v>1.2667700813876164</v>
      </c>
      <c r="O124" s="108">
        <f>+N124*(1+Assumptions!$O$82)</f>
        <v>1.3047731838292449</v>
      </c>
      <c r="P124" s="108">
        <f>+O124*(1+Assumptions!$O$82)</f>
        <v>1.3439163793441222</v>
      </c>
      <c r="Q124" s="108">
        <f>+P124*(1+Assumptions!$O$82)</f>
        <v>1.3842338707244459</v>
      </c>
      <c r="R124" s="108">
        <f>+Q124*(1+Assumptions!$O$82)</f>
        <v>1.4257608868461793</v>
      </c>
      <c r="S124" s="108">
        <f>+R124*(1+Assumptions!$O$82)</f>
        <v>1.4685337134515648</v>
      </c>
      <c r="T124" s="108">
        <f>+S124*(1+Assumptions!$O$82)</f>
        <v>1.5125897248551119</v>
      </c>
      <c r="U124" s="108">
        <f>+T124*(1+Assumptions!$O$82)</f>
        <v>1.5579674166007653</v>
      </c>
      <c r="V124" s="108">
        <f>+U124*(1+Assumptions!$O$82)</f>
        <v>1.6047064390987884</v>
      </c>
      <c r="W124" s="108">
        <f>+V124*(1+Assumptions!$O$82)</f>
        <v>1.652847632271752</v>
      </c>
      <c r="X124" s="108">
        <f>+W124*(1+Assumptions!$O$82)</f>
        <v>1.7024330612399046</v>
      </c>
      <c r="Y124" s="108">
        <f>+X124*(1+Assumptions!$O$82)</f>
        <v>1.7535060530771018</v>
      </c>
      <c r="Z124" s="108">
        <f>+Y124*(1+Assumptions!$O$82)</f>
        <v>1.806111234669415</v>
      </c>
    </row>
    <row r="125" spans="2:26" x14ac:dyDescent="0.35">
      <c r="B125" s="33"/>
      <c r="C125" s="33"/>
      <c r="D125" s="40"/>
      <c r="E125" s="40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2:26" x14ac:dyDescent="0.35">
      <c r="B126" s="33" t="s">
        <v>246</v>
      </c>
      <c r="C126" s="33"/>
      <c r="D126" s="40"/>
      <c r="E126" s="40"/>
      <c r="F126" s="34">
        <f>+F121*Assumptions!$G$203*F123</f>
        <v>0</v>
      </c>
      <c r="G126" s="34">
        <f>+G121*Assumptions!$G$203*G123</f>
        <v>0</v>
      </c>
      <c r="H126" s="34">
        <f>+H121*Assumptions!$G$203*H123</f>
        <v>0</v>
      </c>
      <c r="I126" s="34">
        <f>+I121*Assumptions!$G$203*I123</f>
        <v>287261.75079621817</v>
      </c>
      <c r="J126" s="34">
        <f>+J121*Assumptions!$G$203*J123</f>
        <v>586013.9716242851</v>
      </c>
      <c r="K126" s="34">
        <f>+K121*Assumptions!$G$203*K123</f>
        <v>597734.25105677079</v>
      </c>
      <c r="L126" s="34">
        <f>+L121*Assumptions!$G$203*L123</f>
        <v>609688.93607790628</v>
      </c>
      <c r="M126" s="34">
        <f>+M121*Assumptions!$G$203*M123</f>
        <v>621882.71479946433</v>
      </c>
      <c r="N126" s="34">
        <f>+N121*Assumptions!$G$203*N123</f>
        <v>634320.36909545364</v>
      </c>
      <c r="O126" s="34">
        <f>+O121*Assumptions!$G$203*O123</f>
        <v>647006.77647736273</v>
      </c>
      <c r="P126" s="34">
        <f>+P121*Assumptions!$G$203*P123</f>
        <v>659946.91200691008</v>
      </c>
      <c r="Q126" s="34">
        <f>+Q121*Assumptions!$G$203*Q123</f>
        <v>673145.85024704819</v>
      </c>
      <c r="R126" s="34">
        <f>+R121*Assumptions!$G$203*R123</f>
        <v>686608.76725198922</v>
      </c>
      <c r="S126" s="34">
        <f>+S121*Assumptions!$G$203*S123</f>
        <v>700340.94259702892</v>
      </c>
      <c r="T126" s="34">
        <f>+T121*Assumptions!$G$203*T123</f>
        <v>714347.7614489696</v>
      </c>
      <c r="U126" s="34">
        <f>+U121*Assumptions!$G$203*U123</f>
        <v>728634.71667794907</v>
      </c>
      <c r="V126" s="34">
        <f>+V121*Assumptions!$G$203*V123</f>
        <v>743207.41101150797</v>
      </c>
      <c r="W126" s="34">
        <f>+W121*Assumptions!$G$203*W123</f>
        <v>758071.55923173821</v>
      </c>
      <c r="X126" s="34">
        <f>+X121*Assumptions!$G$203*X123</f>
        <v>773232.99041637301</v>
      </c>
      <c r="Y126" s="34">
        <f>+Y121*Assumptions!$G$203*Y123</f>
        <v>788697.65022470045</v>
      </c>
      <c r="Z126" s="34">
        <f>+Z121*Assumptions!$G$203*Z123</f>
        <v>804471.60322919453</v>
      </c>
    </row>
    <row r="127" spans="2:26" x14ac:dyDescent="0.35">
      <c r="B127" s="33" t="s">
        <v>247</v>
      </c>
      <c r="C127" s="33"/>
      <c r="D127" s="40"/>
      <c r="E127" s="40"/>
      <c r="F127" s="42">
        <f>-F126*Assumptions!$O$60</f>
        <v>0</v>
      </c>
      <c r="G127" s="42">
        <f>-G126*Assumptions!$O$60</f>
        <v>0</v>
      </c>
      <c r="H127" s="42">
        <f>-H126*Assumptions!$O$60</f>
        <v>0</v>
      </c>
      <c r="I127" s="42">
        <f>-I126*Assumptions!$O$60</f>
        <v>-28726.175079621818</v>
      </c>
      <c r="J127" s="42">
        <f>-J126*Assumptions!$O$60</f>
        <v>-58601.397162428511</v>
      </c>
      <c r="K127" s="42">
        <f>-K126*Assumptions!$O$60</f>
        <v>-59773.425105677081</v>
      </c>
      <c r="L127" s="42">
        <f>-L126*Assumptions!$O$60</f>
        <v>-60968.893607790633</v>
      </c>
      <c r="M127" s="42">
        <f>-M126*Assumptions!$O$60</f>
        <v>-62188.271479946437</v>
      </c>
      <c r="N127" s="42">
        <f>-N126*Assumptions!$O$60</f>
        <v>-63432.036909545364</v>
      </c>
      <c r="O127" s="42">
        <f>-O126*Assumptions!$O$60</f>
        <v>-64700.677647736273</v>
      </c>
      <c r="P127" s="42">
        <f>-P126*Assumptions!$O$60</f>
        <v>-65994.691200691013</v>
      </c>
      <c r="Q127" s="42">
        <f>-Q126*Assumptions!$O$60</f>
        <v>-67314.585024704822</v>
      </c>
      <c r="R127" s="42">
        <f>-R126*Assumptions!$O$60</f>
        <v>-68660.876725198919</v>
      </c>
      <c r="S127" s="42">
        <f>-S126*Assumptions!$O$60</f>
        <v>-70034.094259702892</v>
      </c>
      <c r="T127" s="42">
        <f>-T126*Assumptions!$O$60</f>
        <v>-71434.776144896969</v>
      </c>
      <c r="U127" s="42">
        <f>-U126*Assumptions!$O$60</f>
        <v>-72863.471667794904</v>
      </c>
      <c r="V127" s="42">
        <f>-V126*Assumptions!$O$60</f>
        <v>-74320.741101150794</v>
      </c>
      <c r="W127" s="42">
        <f>-W126*Assumptions!$O$60</f>
        <v>-75807.155923173821</v>
      </c>
      <c r="X127" s="42">
        <f>-X126*Assumptions!$O$60</f>
        <v>-77323.299041637307</v>
      </c>
      <c r="Y127" s="42">
        <f>-Y126*Assumptions!$O$60</f>
        <v>-78869.765022470048</v>
      </c>
      <c r="Z127" s="42">
        <f>-Z126*Assumptions!$O$60</f>
        <v>-80447.160322919459</v>
      </c>
    </row>
    <row r="128" spans="2:26" x14ac:dyDescent="0.35">
      <c r="B128" s="137" t="s">
        <v>256</v>
      </c>
      <c r="C128" s="137"/>
      <c r="D128" s="137"/>
      <c r="E128" s="137"/>
      <c r="F128" s="129">
        <f t="shared" ref="F128:Z128" si="84">+SUM(F126:F127)</f>
        <v>0</v>
      </c>
      <c r="G128" s="129">
        <f t="shared" si="84"/>
        <v>0</v>
      </c>
      <c r="H128" s="129">
        <f t="shared" si="84"/>
        <v>0</v>
      </c>
      <c r="I128" s="129">
        <f t="shared" si="84"/>
        <v>258535.57571659636</v>
      </c>
      <c r="J128" s="129">
        <f t="shared" si="84"/>
        <v>527412.57446185662</v>
      </c>
      <c r="K128" s="129">
        <f t="shared" si="84"/>
        <v>537960.82595109369</v>
      </c>
      <c r="L128" s="129">
        <f t="shared" si="84"/>
        <v>548720.0424701157</v>
      </c>
      <c r="M128" s="129">
        <f t="shared" si="84"/>
        <v>559694.44331951789</v>
      </c>
      <c r="N128" s="129">
        <f t="shared" si="84"/>
        <v>570888.33218590822</v>
      </c>
      <c r="O128" s="129">
        <f t="shared" si="84"/>
        <v>582306.09882962645</v>
      </c>
      <c r="P128" s="129">
        <f t="shared" si="84"/>
        <v>593952.22080621903</v>
      </c>
      <c r="Q128" s="129">
        <f t="shared" si="84"/>
        <v>605831.26522234338</v>
      </c>
      <c r="R128" s="129">
        <f t="shared" si="84"/>
        <v>617947.89052679029</v>
      </c>
      <c r="S128" s="129">
        <f t="shared" si="84"/>
        <v>630306.84833732597</v>
      </c>
      <c r="T128" s="129">
        <f t="shared" si="84"/>
        <v>642912.98530407262</v>
      </c>
      <c r="U128" s="129">
        <f t="shared" si="84"/>
        <v>655771.24501015421</v>
      </c>
      <c r="V128" s="129">
        <f t="shared" si="84"/>
        <v>668886.66991035722</v>
      </c>
      <c r="W128" s="129">
        <f t="shared" si="84"/>
        <v>682264.40330856433</v>
      </c>
      <c r="X128" s="129">
        <f t="shared" si="84"/>
        <v>695909.69137473567</v>
      </c>
      <c r="Y128" s="129">
        <f t="shared" si="84"/>
        <v>709827.88520223042</v>
      </c>
      <c r="Z128" s="129">
        <f t="shared" si="84"/>
        <v>724024.44290627504</v>
      </c>
    </row>
    <row r="130" spans="2:26" x14ac:dyDescent="0.35">
      <c r="B130" s="33" t="s">
        <v>395</v>
      </c>
      <c r="F130" s="34">
        <f>+F119*Assumptions!$O$97*'Phase II Pro Forma'!F124</f>
        <v>0</v>
      </c>
      <c r="G130" s="34">
        <f>+G119*Assumptions!$O$97*'Phase II Pro Forma'!G124</f>
        <v>0</v>
      </c>
      <c r="H130" s="34">
        <f>+H119*Assumptions!$O$97*'Phase II Pro Forma'!H124</f>
        <v>0</v>
      </c>
      <c r="I130" s="34">
        <f>+I119*Assumptions!$O$97*'Phase II Pro Forma'!I124</f>
        <v>91294.360685454551</v>
      </c>
      <c r="J130" s="34">
        <f>+J119*Assumptions!$O$97*'Phase II Pro Forma'!J124</f>
        <v>188066.38301203641</v>
      </c>
      <c r="K130" s="34">
        <f>+K119*Assumptions!$O$97*'Phase II Pro Forma'!K124</f>
        <v>193708.37450239749</v>
      </c>
      <c r="L130" s="34">
        <f>+L119*Assumptions!$O$97*'Phase II Pro Forma'!L124</f>
        <v>199519.62573746941</v>
      </c>
      <c r="M130" s="34">
        <f>+M119*Assumptions!$O$97*'Phase II Pro Forma'!M124</f>
        <v>205505.21450959353</v>
      </c>
      <c r="N130" s="34">
        <f>+N119*Assumptions!$O$97*'Phase II Pro Forma'!N124</f>
        <v>211670.37094488132</v>
      </c>
      <c r="O130" s="34">
        <f>+O119*Assumptions!$O$97*'Phase II Pro Forma'!O124</f>
        <v>218020.48207322779</v>
      </c>
      <c r="P130" s="34">
        <f>+P119*Assumptions!$O$97*'Phase II Pro Forma'!P124</f>
        <v>224561.09653542461</v>
      </c>
      <c r="Q130" s="34">
        <f>+Q119*Assumptions!$O$97*'Phase II Pro Forma'!Q124</f>
        <v>231297.92943148734</v>
      </c>
      <c r="R130" s="34">
        <f>+R119*Assumptions!$O$97*'Phase II Pro Forma'!R124</f>
        <v>238236.86731443196</v>
      </c>
      <c r="S130" s="34">
        <f>+S119*Assumptions!$O$97*'Phase II Pro Forma'!S124</f>
        <v>245383.97333386494</v>
      </c>
      <c r="T130" s="34">
        <f>+T119*Assumptions!$O$97*'Phase II Pro Forma'!T124</f>
        <v>252745.49253388093</v>
      </c>
      <c r="U130" s="34">
        <f>+U119*Assumptions!$O$97*'Phase II Pro Forma'!U124</f>
        <v>260327.85730989737</v>
      </c>
      <c r="V130" s="34">
        <f>+V119*Assumptions!$O$97*'Phase II Pro Forma'!V124</f>
        <v>268137.69302919431</v>
      </c>
      <c r="W130" s="34">
        <f>+W119*Assumptions!$O$97*'Phase II Pro Forma'!W124</f>
        <v>276181.82382007013</v>
      </c>
      <c r="X130" s="34">
        <f>+X119*Assumptions!$O$97*'Phase II Pro Forma'!X124</f>
        <v>284467.27853467222</v>
      </c>
      <c r="Y130" s="34">
        <f>+Y119*Assumptions!$O$97*'Phase II Pro Forma'!Y124</f>
        <v>293001.2968907124</v>
      </c>
      <c r="Z130" s="34">
        <f>+Z119*Assumptions!$O$97*'Phase II Pro Forma'!Z124</f>
        <v>301791.3357974338</v>
      </c>
    </row>
    <row r="131" spans="2:26" x14ac:dyDescent="0.35">
      <c r="B131" s="33" t="s">
        <v>331</v>
      </c>
      <c r="F131" s="151">
        <f ca="1">+IFERROR(INDEX('Taxes and TIF'!$AC$11:$AC$45,MATCH('Phase II Pro Forma'!F$7,'Taxes and TIF'!$R$11:$R$45,0)),0)*'Loan Sizing'!$K$20*F121</f>
        <v>0</v>
      </c>
      <c r="G131" s="151">
        <f ca="1">+IFERROR(INDEX('Taxes and TIF'!$AC$11:$AC$45,MATCH('Phase II Pro Forma'!G$7,'Taxes and TIF'!$R$11:$R$45,0)),0)*'Loan Sizing'!$K$20*G121</f>
        <v>0</v>
      </c>
      <c r="H131" s="151">
        <f ca="1">+IFERROR(INDEX('Taxes and TIF'!$AC$11:$AC$45,MATCH('Phase II Pro Forma'!H$7,'Taxes and TIF'!$R$11:$R$45,0)),0)*'Loan Sizing'!$K$20*H121</f>
        <v>0</v>
      </c>
      <c r="I131" s="151">
        <f ca="1">+IFERROR(INDEX('Taxes and TIF'!$AC$11:$AC$45,MATCH('Phase II Pro Forma'!I$7,'Taxes and TIF'!$R$11:$R$45,0)),0)*'Loan Sizing'!$K$20*I121</f>
        <v>44914.874358260771</v>
      </c>
      <c r="J131" s="151">
        <f ca="1">+IFERROR(INDEX('Taxes and TIF'!$AC$11:$AC$45,MATCH('Phase II Pro Forma'!J$7,'Taxes and TIF'!$R$11:$R$45,0)),0)*'Loan Sizing'!$K$20*J121</f>
        <v>91626.343690851965</v>
      </c>
      <c r="K131" s="151">
        <f ca="1">+IFERROR(INDEX('Taxes and TIF'!$AC$11:$AC$45,MATCH('Phase II Pro Forma'!K$7,'Taxes and TIF'!$R$11:$R$45,0)),0)*'Loan Sizing'!$K$20*K121</f>
        <v>91626.343690851965</v>
      </c>
      <c r="L131" s="151">
        <f ca="1">+IFERROR(INDEX('Taxes and TIF'!$AC$11:$AC$45,MATCH('Phase II Pro Forma'!L$7,'Taxes and TIF'!$R$11:$R$45,0)),0)*'Loan Sizing'!$K$20*L121</f>
        <v>91626.343690851965</v>
      </c>
      <c r="M131" s="151">
        <f ca="1">+IFERROR(INDEX('Taxes and TIF'!$AC$11:$AC$45,MATCH('Phase II Pro Forma'!M$7,'Taxes and TIF'!$R$11:$R$45,0)),0)*'Loan Sizing'!$K$20*M121</f>
        <v>93458.870564669021</v>
      </c>
      <c r="N131" s="151">
        <f ca="1">+IFERROR(INDEX('Taxes and TIF'!$AC$11:$AC$45,MATCH('Phase II Pro Forma'!N$7,'Taxes and TIF'!$R$11:$R$45,0)),0)*'Loan Sizing'!$K$20*N121</f>
        <v>93458.870564669021</v>
      </c>
      <c r="O131" s="151">
        <f ca="1">+IFERROR(INDEX('Taxes and TIF'!$AC$11:$AC$45,MATCH('Phase II Pro Forma'!O$7,'Taxes and TIF'!$R$11:$R$45,0)),0)*'Loan Sizing'!$K$20*O121</f>
        <v>93458.870564669021</v>
      </c>
      <c r="P131" s="151">
        <f ca="1">+IFERROR(INDEX('Taxes and TIF'!$AC$11:$AC$45,MATCH('Phase II Pro Forma'!P$7,'Taxes and TIF'!$R$11:$R$45,0)),0)*'Loan Sizing'!$K$20*P121</f>
        <v>95328.047975962385</v>
      </c>
      <c r="Q131" s="151">
        <f ca="1">+IFERROR(INDEX('Taxes and TIF'!$AC$11:$AC$45,MATCH('Phase II Pro Forma'!Q$7,'Taxes and TIF'!$R$11:$R$45,0)),0)*'Loan Sizing'!$K$20*Q121</f>
        <v>95328.047975962385</v>
      </c>
      <c r="R131" s="151">
        <f ca="1">+IFERROR(INDEX('Taxes and TIF'!$AC$11:$AC$45,MATCH('Phase II Pro Forma'!R$7,'Taxes and TIF'!$R$11:$R$45,0)),0)*'Loan Sizing'!$K$20*R121</f>
        <v>95328.047975962385</v>
      </c>
      <c r="S131" s="151">
        <f ca="1">+IFERROR(INDEX('Taxes and TIF'!$AC$11:$AC$45,MATCH('Phase II Pro Forma'!S$7,'Taxes and TIF'!$R$11:$R$45,0)),0)*'Loan Sizing'!$K$20*S121</f>
        <v>97234.608935481636</v>
      </c>
      <c r="T131" s="151">
        <f ca="1">+IFERROR(INDEX('Taxes and TIF'!$AC$11:$AC$45,MATCH('Phase II Pro Forma'!T$7,'Taxes and TIF'!$R$11:$R$45,0)),0)*'Loan Sizing'!$K$20*T121</f>
        <v>97234.608935481636</v>
      </c>
      <c r="U131" s="151">
        <f ca="1">+IFERROR(INDEX('Taxes and TIF'!$AC$11:$AC$45,MATCH('Phase II Pro Forma'!U$7,'Taxes and TIF'!$R$11:$R$45,0)),0)*'Loan Sizing'!$K$20*U121</f>
        <v>97234.608935481636</v>
      </c>
      <c r="V131" s="151">
        <f ca="1">+IFERROR(INDEX('Taxes and TIF'!$AC$11:$AC$45,MATCH('Phase II Pro Forma'!V$7,'Taxes and TIF'!$R$11:$R$45,0)),0)*'Loan Sizing'!$K$20*V121</f>
        <v>99179.301114191287</v>
      </c>
      <c r="W131" s="151">
        <f ca="1">+IFERROR(INDEX('Taxes and TIF'!$AC$11:$AC$45,MATCH('Phase II Pro Forma'!W$7,'Taxes and TIF'!$R$11:$R$45,0)),0)*'Loan Sizing'!$K$20*W121</f>
        <v>99179.301114191287</v>
      </c>
      <c r="X131" s="151">
        <f ca="1">+IFERROR(INDEX('Taxes and TIF'!$AC$11:$AC$45,MATCH('Phase II Pro Forma'!X$7,'Taxes and TIF'!$R$11:$R$45,0)),0)*'Loan Sizing'!$K$20*X121</f>
        <v>99179.301114191287</v>
      </c>
      <c r="Y131" s="151">
        <f ca="1">+IFERROR(INDEX('Taxes and TIF'!$AC$11:$AC$45,MATCH('Phase II Pro Forma'!Y$7,'Taxes and TIF'!$R$11:$R$45,0)),0)*'Loan Sizing'!$K$20*Y121</f>
        <v>101162.88713647511</v>
      </c>
      <c r="Z131" s="151">
        <f ca="1">+IFERROR(INDEX('Taxes and TIF'!$AC$11:$AC$45,MATCH('Phase II Pro Forma'!Z$7,'Taxes and TIF'!$R$11:$R$45,0)),0)*'Loan Sizing'!$K$20*Z121</f>
        <v>101162.88713647511</v>
      </c>
    </row>
    <row r="132" spans="2:26" x14ac:dyDescent="0.35">
      <c r="B132" s="137" t="s">
        <v>252</v>
      </c>
      <c r="C132" s="137"/>
      <c r="D132" s="137"/>
      <c r="E132" s="137"/>
      <c r="F132" s="129">
        <f ca="1">+SUM(F130:F131)</f>
        <v>0</v>
      </c>
      <c r="G132" s="129">
        <f t="shared" ref="G132" ca="1" si="85">+SUM(G130:G131)</f>
        <v>0</v>
      </c>
      <c r="H132" s="129">
        <f t="shared" ref="H132:Z132" ca="1" si="86">+SUM(H130:H131)</f>
        <v>0</v>
      </c>
      <c r="I132" s="129">
        <f t="shared" ca="1" si="86"/>
        <v>136209.23504371534</v>
      </c>
      <c r="J132" s="129">
        <f t="shared" ca="1" si="86"/>
        <v>279692.72670288838</v>
      </c>
      <c r="K132" s="129">
        <f t="shared" ca="1" si="86"/>
        <v>285334.71819324943</v>
      </c>
      <c r="L132" s="129">
        <f t="shared" ca="1" si="86"/>
        <v>291145.96942832135</v>
      </c>
      <c r="M132" s="129">
        <f t="shared" ca="1" si="86"/>
        <v>298964.08507426258</v>
      </c>
      <c r="N132" s="129">
        <f t="shared" ca="1" si="86"/>
        <v>305129.24150955037</v>
      </c>
      <c r="O132" s="129">
        <f t="shared" ca="1" si="86"/>
        <v>311479.35263789678</v>
      </c>
      <c r="P132" s="129">
        <f t="shared" ca="1" si="86"/>
        <v>319889.14451138698</v>
      </c>
      <c r="Q132" s="129">
        <f t="shared" ca="1" si="86"/>
        <v>326625.97740744974</v>
      </c>
      <c r="R132" s="129">
        <f t="shared" ca="1" si="86"/>
        <v>333564.91529039433</v>
      </c>
      <c r="S132" s="129">
        <f t="shared" ca="1" si="86"/>
        <v>342618.58226934657</v>
      </c>
      <c r="T132" s="129">
        <f t="shared" ca="1" si="86"/>
        <v>349980.10146936256</v>
      </c>
      <c r="U132" s="129">
        <f t="shared" ca="1" si="86"/>
        <v>357562.46624537901</v>
      </c>
      <c r="V132" s="129">
        <f t="shared" ca="1" si="86"/>
        <v>367316.99414338561</v>
      </c>
      <c r="W132" s="129">
        <f t="shared" ca="1" si="86"/>
        <v>375361.12493426143</v>
      </c>
      <c r="X132" s="129">
        <f t="shared" ca="1" si="86"/>
        <v>383646.57964886352</v>
      </c>
      <c r="Y132" s="129">
        <f t="shared" ca="1" si="86"/>
        <v>394164.18402718753</v>
      </c>
      <c r="Z132" s="129">
        <f t="shared" ca="1" si="86"/>
        <v>402954.22293390892</v>
      </c>
    </row>
    <row r="133" spans="2:26" x14ac:dyDescent="0.35">
      <c r="B133" s="33"/>
    </row>
    <row r="134" spans="2:26" x14ac:dyDescent="0.35">
      <c r="B134" s="138" t="s">
        <v>251</v>
      </c>
      <c r="C134" s="138"/>
      <c r="D134" s="138"/>
      <c r="E134" s="138"/>
      <c r="F134" s="139">
        <f ca="1">+F128-F132</f>
        <v>0</v>
      </c>
      <c r="G134" s="139">
        <f t="shared" ref="G134:Z134" ca="1" si="87">+G128-G132</f>
        <v>0</v>
      </c>
      <c r="H134" s="139">
        <f t="shared" ca="1" si="87"/>
        <v>0</v>
      </c>
      <c r="I134" s="139">
        <f t="shared" ca="1" si="87"/>
        <v>122326.34067288102</v>
      </c>
      <c r="J134" s="139">
        <f t="shared" ca="1" si="87"/>
        <v>247719.84775896824</v>
      </c>
      <c r="K134" s="139">
        <f t="shared" ca="1" si="87"/>
        <v>252626.10775784426</v>
      </c>
      <c r="L134" s="139">
        <f t="shared" ca="1" si="87"/>
        <v>257574.07304179436</v>
      </c>
      <c r="M134" s="139">
        <f t="shared" ca="1" si="87"/>
        <v>260730.35824525531</v>
      </c>
      <c r="N134" s="139">
        <f t="shared" ca="1" si="87"/>
        <v>265759.09067635785</v>
      </c>
      <c r="O134" s="139">
        <f t="shared" ca="1" si="87"/>
        <v>270826.74619172968</v>
      </c>
      <c r="P134" s="139">
        <f t="shared" ca="1" si="87"/>
        <v>274063.07629483205</v>
      </c>
      <c r="Q134" s="139">
        <f t="shared" ca="1" si="87"/>
        <v>279205.28781489364</v>
      </c>
      <c r="R134" s="139">
        <f t="shared" ca="1" si="87"/>
        <v>284382.97523639596</v>
      </c>
      <c r="S134" s="139">
        <f t="shared" ca="1" si="87"/>
        <v>287688.26606797939</v>
      </c>
      <c r="T134" s="139">
        <f t="shared" ca="1" si="87"/>
        <v>292932.88383471005</v>
      </c>
      <c r="U134" s="139">
        <f t="shared" ca="1" si="87"/>
        <v>298208.7787647752</v>
      </c>
      <c r="V134" s="139">
        <f t="shared" ca="1" si="87"/>
        <v>301569.6757669716</v>
      </c>
      <c r="W134" s="139">
        <f t="shared" ca="1" si="87"/>
        <v>306903.2783743029</v>
      </c>
      <c r="X134" s="139">
        <f t="shared" ca="1" si="87"/>
        <v>312263.11172587215</v>
      </c>
      <c r="Y134" s="139">
        <f t="shared" ca="1" si="87"/>
        <v>315663.70117504289</v>
      </c>
      <c r="Z134" s="139">
        <f t="shared" ca="1" si="87"/>
        <v>321070.21997236612</v>
      </c>
    </row>
    <row r="135" spans="2:26" x14ac:dyDescent="0.35">
      <c r="B135" s="143" t="s">
        <v>257</v>
      </c>
      <c r="C135" s="141"/>
      <c r="D135" s="141"/>
      <c r="E135" s="141"/>
      <c r="F135" s="144" t="str">
        <f ca="1">+IFERROR(F134/F128,"")</f>
        <v/>
      </c>
      <c r="G135" s="144" t="str">
        <f t="shared" ref="G135:Z135" ca="1" si="88">+IFERROR(G134/G128,"")</f>
        <v/>
      </c>
      <c r="H135" s="144" t="str">
        <f t="shared" ca="1" si="88"/>
        <v/>
      </c>
      <c r="I135" s="145">
        <f t="shared" ca="1" si="88"/>
        <v>0.47315090131724741</v>
      </c>
      <c r="J135" s="145">
        <f t="shared" ca="1" si="88"/>
        <v>0.46968892998375744</v>
      </c>
      <c r="K135" s="145">
        <f t="shared" ca="1" si="88"/>
        <v>0.46959944957183675</v>
      </c>
      <c r="L135" s="145">
        <f t="shared" ca="1" si="88"/>
        <v>0.46940890272988761</v>
      </c>
      <c r="M135" s="145">
        <f t="shared" ca="1" si="88"/>
        <v>0.46584410718619512</v>
      </c>
      <c r="N135" s="145">
        <f t="shared" ca="1" si="88"/>
        <v>0.46551851858449639</v>
      </c>
      <c r="O135" s="145">
        <f t="shared" ca="1" si="88"/>
        <v>0.46509343923421503</v>
      </c>
      <c r="P135" s="145">
        <f t="shared" ca="1" si="88"/>
        <v>0.46142276549252437</v>
      </c>
      <c r="Q135" s="145">
        <f t="shared" ca="1" si="88"/>
        <v>0.46086312120656858</v>
      </c>
      <c r="R135" s="145">
        <f t="shared" ca="1" si="88"/>
        <v>0.46020543090448002</v>
      </c>
      <c r="S135" s="145">
        <f t="shared" ca="1" si="88"/>
        <v>0.45642573427032662</v>
      </c>
      <c r="T135" s="145">
        <f t="shared" ca="1" si="88"/>
        <v>0.45563379575567958</v>
      </c>
      <c r="U135" s="145">
        <f t="shared" ca="1" si="88"/>
        <v>0.45474512802121664</v>
      </c>
      <c r="V135" s="145">
        <f t="shared" ca="1" si="88"/>
        <v>0.45085317039938522</v>
      </c>
      <c r="W135" s="145">
        <f t="shared" ca="1" si="88"/>
        <v>0.44983041308620242</v>
      </c>
      <c r="X135" s="145">
        <f t="shared" ca="1" si="88"/>
        <v>0.44871211824771629</v>
      </c>
      <c r="Y135" s="145">
        <f t="shared" ca="1" si="88"/>
        <v>0.44470456536813863</v>
      </c>
      <c r="Z135" s="145">
        <f t="shared" ca="1" si="88"/>
        <v>0.44345218330416042</v>
      </c>
    </row>
    <row r="136" spans="2:26" x14ac:dyDescent="0.35">
      <c r="B136" s="143" t="s">
        <v>191</v>
      </c>
      <c r="C136" s="141"/>
      <c r="D136" s="141"/>
      <c r="E136" s="141"/>
      <c r="F136" s="142">
        <f ca="1">+F134/Assumptions!$O$135</f>
        <v>0</v>
      </c>
      <c r="G136" s="142">
        <f ca="1">+G134/Assumptions!$O$135</f>
        <v>0</v>
      </c>
      <c r="H136" s="142">
        <f ca="1">+H134/Assumptions!$O$135</f>
        <v>0</v>
      </c>
      <c r="I136" s="142">
        <f ca="1">+I134/Assumptions!$O$135</f>
        <v>1881943.702659708</v>
      </c>
      <c r="J136" s="142">
        <f ca="1">+J134/Assumptions!$O$135</f>
        <v>3811074.5809072037</v>
      </c>
      <c r="K136" s="142">
        <f ca="1">+K134/Assumptions!$O$135</f>
        <v>3886555.5039668349</v>
      </c>
      <c r="L136" s="142">
        <f ca="1">+L134/Assumptions!$O$135</f>
        <v>3962678.046796836</v>
      </c>
      <c r="M136" s="142">
        <f ca="1">+M134/Assumptions!$O$135</f>
        <v>4011236.2806962356</v>
      </c>
      <c r="N136" s="142">
        <f ca="1">+N134/Assumptions!$O$135</f>
        <v>4088601.39502089</v>
      </c>
      <c r="O136" s="142">
        <f ca="1">+O134/Assumptions!$O$135</f>
        <v>4166565.3260266101</v>
      </c>
      <c r="P136" s="142">
        <f ca="1">+P134/Assumptions!$O$135</f>
        <v>4216355.0199204925</v>
      </c>
      <c r="Q136" s="142">
        <f ca="1">+Q134/Assumptions!$O$135</f>
        <v>4295465.9663829794</v>
      </c>
      <c r="R136" s="142">
        <f ca="1">+R134/Assumptions!$O$135</f>
        <v>4375122.6959445532</v>
      </c>
      <c r="S136" s="142">
        <f ca="1">+S134/Assumptions!$O$135</f>
        <v>4425973.3241227595</v>
      </c>
      <c r="T136" s="142">
        <f ca="1">+T134/Assumptions!$O$135</f>
        <v>4506659.7513032313</v>
      </c>
      <c r="U136" s="142">
        <f ca="1">+U134/Assumptions!$O$135</f>
        <v>4587827.3656119257</v>
      </c>
      <c r="V136" s="142">
        <f ca="1">+V134/Assumptions!$O$135</f>
        <v>4639533.4733380247</v>
      </c>
      <c r="W136" s="142">
        <f ca="1">+W134/Assumptions!$O$135</f>
        <v>4721588.8980661985</v>
      </c>
      <c r="X136" s="142">
        <f ca="1">+X134/Assumptions!$O$135</f>
        <v>4804047.872705725</v>
      </c>
      <c r="Y136" s="142">
        <f ca="1">+Y134/Assumptions!$O$135</f>
        <v>4856364.6334621981</v>
      </c>
      <c r="Z136" s="142">
        <f ca="1">+Z134/Assumptions!$O$135</f>
        <v>4939541.8457287094</v>
      </c>
    </row>
    <row r="138" spans="2:26" x14ac:dyDescent="0.35">
      <c r="B138" s="138" t="s">
        <v>780</v>
      </c>
      <c r="C138" s="138"/>
      <c r="D138" s="138"/>
      <c r="E138" s="138"/>
      <c r="F138" s="139">
        <f t="shared" ref="F138:Z138" ca="1" si="89">+F134+F112+F91+F70+F49+F26</f>
        <v>0</v>
      </c>
      <c r="G138" s="139">
        <f t="shared" ca="1" si="89"/>
        <v>0</v>
      </c>
      <c r="H138" s="139">
        <f t="shared" ca="1" si="89"/>
        <v>0</v>
      </c>
      <c r="I138" s="139">
        <f t="shared" ca="1" si="89"/>
        <v>5525544.624410158</v>
      </c>
      <c r="J138" s="139">
        <f t="shared" ca="1" si="89"/>
        <v>11201767.3119852</v>
      </c>
      <c r="K138" s="139">
        <f t="shared" ca="1" si="89"/>
        <v>11403435.464829812</v>
      </c>
      <c r="L138" s="139">
        <f t="shared" ca="1" si="89"/>
        <v>12212578.757939668</v>
      </c>
      <c r="M138" s="139">
        <f t="shared" ca="1" si="89"/>
        <v>12379583.089409325</v>
      </c>
      <c r="N138" s="139">
        <f t="shared" ca="1" si="89"/>
        <v>12598984.298541032</v>
      </c>
      <c r="O138" s="139">
        <f t="shared" ca="1" si="89"/>
        <v>12824641.957385866</v>
      </c>
      <c r="P138" s="139">
        <f t="shared" ca="1" si="89"/>
        <v>13009494.462040752</v>
      </c>
      <c r="Q138" s="139">
        <f t="shared" ca="1" si="89"/>
        <v>13910118.964295346</v>
      </c>
      <c r="R138" s="139">
        <f t="shared" ca="1" si="89"/>
        <v>14155654.440265195</v>
      </c>
      <c r="S138" s="139">
        <f t="shared" ca="1" si="89"/>
        <v>14360015.913773322</v>
      </c>
      <c r="T138" s="139">
        <f t="shared" ca="1" si="89"/>
        <v>14619782.028232915</v>
      </c>
      <c r="U138" s="139">
        <f t="shared" ca="1" si="89"/>
        <v>14886974.462777274</v>
      </c>
      <c r="V138" s="139">
        <f t="shared" ca="1" si="89"/>
        <v>15840752.8823712</v>
      </c>
      <c r="W138" s="139">
        <f t="shared" ca="1" si="89"/>
        <v>16123450.643116511</v>
      </c>
      <c r="X138" s="139">
        <f t="shared" ca="1" si="89"/>
        <v>16414240.230604894</v>
      </c>
      <c r="Y138" s="139">
        <f t="shared" ca="1" si="89"/>
        <v>16663222.19542893</v>
      </c>
      <c r="Z138" s="139">
        <f t="shared" ca="1" si="89"/>
        <v>16970907.247983564</v>
      </c>
    </row>
    <row r="140" spans="2:26" x14ac:dyDescent="0.35">
      <c r="B140" s="148" t="s">
        <v>31</v>
      </c>
      <c r="F140" s="150">
        <f>+Assumptions!$G$22</f>
        <v>44926</v>
      </c>
      <c r="G140" s="150">
        <f>+EOMONTH(F140,12)</f>
        <v>45291</v>
      </c>
      <c r="H140" s="150">
        <f t="shared" ref="H140:Z140" si="90">+EOMONTH(G140,12)</f>
        <v>45657</v>
      </c>
      <c r="I140" s="150">
        <f t="shared" si="90"/>
        <v>46022</v>
      </c>
      <c r="J140" s="150">
        <f t="shared" si="90"/>
        <v>46387</v>
      </c>
      <c r="K140" s="150">
        <f t="shared" si="90"/>
        <v>46752</v>
      </c>
      <c r="L140" s="150">
        <f t="shared" si="90"/>
        <v>47118</v>
      </c>
      <c r="M140" s="150">
        <f t="shared" si="90"/>
        <v>47483</v>
      </c>
      <c r="N140" s="150">
        <f t="shared" si="90"/>
        <v>47848</v>
      </c>
      <c r="O140" s="150">
        <f t="shared" si="90"/>
        <v>48213</v>
      </c>
      <c r="P140" s="150">
        <f t="shared" si="90"/>
        <v>48579</v>
      </c>
      <c r="Q140" s="150">
        <f t="shared" si="90"/>
        <v>48944</v>
      </c>
      <c r="R140" s="150">
        <f t="shared" si="90"/>
        <v>49309</v>
      </c>
      <c r="S140" s="150">
        <f t="shared" si="90"/>
        <v>49674</v>
      </c>
      <c r="T140" s="150">
        <f t="shared" si="90"/>
        <v>50040</v>
      </c>
      <c r="U140" s="150">
        <f t="shared" si="90"/>
        <v>50405</v>
      </c>
      <c r="V140" s="150">
        <f t="shared" si="90"/>
        <v>50770</v>
      </c>
      <c r="W140" s="150">
        <f t="shared" si="90"/>
        <v>51135</v>
      </c>
      <c r="X140" s="150">
        <f t="shared" si="90"/>
        <v>51501</v>
      </c>
      <c r="Y140" s="150">
        <f t="shared" si="90"/>
        <v>51866</v>
      </c>
      <c r="Z140" s="150">
        <f t="shared" si="90"/>
        <v>52231</v>
      </c>
    </row>
    <row r="141" spans="2:26" x14ac:dyDescent="0.35">
      <c r="B141" s="33" t="s">
        <v>337</v>
      </c>
      <c r="F141" s="34">
        <v>0</v>
      </c>
      <c r="G141" s="34">
        <f t="shared" ref="G141:Z141" ca="1" si="91">+F144</f>
        <v>0</v>
      </c>
      <c r="H141" s="34">
        <f t="shared" ca="1" si="91"/>
        <v>0</v>
      </c>
      <c r="I141" s="34">
        <f t="shared" ca="1" si="91"/>
        <v>0</v>
      </c>
      <c r="J141" s="34">
        <f t="shared" ca="1" si="91"/>
        <v>117751781.9217336</v>
      </c>
      <c r="K141" s="34">
        <f t="shared" ca="1" si="91"/>
        <v>116282899.37478246</v>
      </c>
      <c r="L141" s="34">
        <f t="shared" ca="1" si="91"/>
        <v>114718539.46227945</v>
      </c>
      <c r="M141" s="34">
        <f t="shared" ca="1" si="91"/>
        <v>113052496.15546378</v>
      </c>
      <c r="N141" s="34">
        <f t="shared" ca="1" si="91"/>
        <v>111278160.03370507</v>
      </c>
      <c r="O141" s="34">
        <f t="shared" ca="1" si="91"/>
        <v>109388492.06403208</v>
      </c>
      <c r="P141" s="34">
        <f t="shared" ca="1" si="91"/>
        <v>107375995.67633031</v>
      </c>
      <c r="Q141" s="34">
        <f t="shared" ca="1" si="91"/>
        <v>105232687.02342796</v>
      </c>
      <c r="R141" s="34">
        <f t="shared" ca="1" si="91"/>
        <v>102950063.30808692</v>
      </c>
      <c r="S141" s="34">
        <f t="shared" ca="1" si="91"/>
        <v>100519069.05124874</v>
      </c>
      <c r="T141" s="34">
        <f t="shared" ca="1" si="91"/>
        <v>97930060.167716056</v>
      </c>
      <c r="U141" s="34">
        <f t="shared" ca="1" si="91"/>
        <v>95172765.706753775</v>
      </c>
      <c r="V141" s="34">
        <f t="shared" ca="1" si="91"/>
        <v>92236247.105828911</v>
      </c>
      <c r="W141" s="34">
        <f t="shared" ca="1" si="91"/>
        <v>89108854.795843959</v>
      </c>
      <c r="X141" s="34">
        <f t="shared" ca="1" si="91"/>
        <v>85778181.985709965</v>
      </c>
      <c r="Y141" s="34">
        <f t="shared" ca="1" si="91"/>
        <v>82231015.442917272</v>
      </c>
      <c r="Z141" s="34">
        <f t="shared" ca="1" si="91"/>
        <v>78453283.074843049</v>
      </c>
    </row>
    <row r="142" spans="2:26" x14ac:dyDescent="0.35">
      <c r="B142" s="33" t="s">
        <v>348</v>
      </c>
      <c r="F142" s="151">
        <f>+IF(YEAR(F$140)=YEAR(Assumptions!$G$26),'S&amp;U'!$S$17,0)</f>
        <v>0</v>
      </c>
      <c r="G142" s="151">
        <f>+IF(YEAR(G$140)=YEAR(Assumptions!$G$26),'S&amp;U'!$S$17,0)</f>
        <v>0</v>
      </c>
      <c r="H142" s="151">
        <f>+IF(YEAR(H$140)=YEAR(Assumptions!$G$26),'S&amp;U'!$S$17,0)</f>
        <v>0</v>
      </c>
      <c r="I142" s="151">
        <f ca="1">+IF(YEAR(I$140)=YEAR(Assumptions!$G$26),'S&amp;U'!$S$17,0)</f>
        <v>119131014.36018541</v>
      </c>
      <c r="J142" s="151">
        <f>+IF(YEAR(J$140)=YEAR(Assumptions!$G$26),'S&amp;U'!$S$17,0)</f>
        <v>0</v>
      </c>
      <c r="K142" s="151">
        <f>+IF(YEAR(K$140)=YEAR(Assumptions!$G$26),'S&amp;U'!$S$17,0)</f>
        <v>0</v>
      </c>
      <c r="L142" s="151">
        <f>+IF(YEAR(L$140)=YEAR(Assumptions!$G$26),'S&amp;U'!$S$17,0)</f>
        <v>0</v>
      </c>
      <c r="M142" s="151">
        <f>+IF(YEAR(M$140)=YEAR(Assumptions!$G$26),'S&amp;U'!$S$17,0)</f>
        <v>0</v>
      </c>
      <c r="N142" s="151">
        <f>+IF(YEAR(N$140)=YEAR(Assumptions!$G$26),'S&amp;U'!$S$17,0)</f>
        <v>0</v>
      </c>
      <c r="O142" s="151">
        <f>+IF(YEAR(O$140)=YEAR(Assumptions!$G$26),'S&amp;U'!$S$17,0)</f>
        <v>0</v>
      </c>
      <c r="P142" s="151">
        <f>+IF(YEAR(P$140)=YEAR(Assumptions!$G$26),'S&amp;U'!$S$17,0)</f>
        <v>0</v>
      </c>
      <c r="Q142" s="151">
        <f>+IF(YEAR(Q$140)=YEAR(Assumptions!$G$26),'S&amp;U'!$S$17,0)</f>
        <v>0</v>
      </c>
      <c r="R142" s="151">
        <f>+IF(YEAR(R$140)=YEAR(Assumptions!$G$26),'S&amp;U'!$S$17,0)</f>
        <v>0</v>
      </c>
      <c r="S142" s="151">
        <f>+IF(YEAR(S$140)=YEAR(Assumptions!$G$26),'S&amp;U'!$S$17,0)</f>
        <v>0</v>
      </c>
      <c r="T142" s="151">
        <f>+IF(YEAR(T$140)=YEAR(Assumptions!$G$26),'S&amp;U'!$S$17,0)</f>
        <v>0</v>
      </c>
      <c r="U142" s="151">
        <f>+IF(YEAR(U$140)=YEAR(Assumptions!$G$26),'S&amp;U'!$S$17,0)</f>
        <v>0</v>
      </c>
      <c r="V142" s="151">
        <f>+IF(YEAR(V$140)=YEAR(Assumptions!$G$26),'S&amp;U'!$S$17,0)</f>
        <v>0</v>
      </c>
      <c r="W142" s="151">
        <f>+IF(YEAR(W$140)=YEAR(Assumptions!$G$26),'S&amp;U'!$S$17,0)</f>
        <v>0</v>
      </c>
      <c r="X142" s="151">
        <f>+IF(YEAR(X$140)=YEAR(Assumptions!$G$26),'S&amp;U'!$S$17,0)</f>
        <v>0</v>
      </c>
      <c r="Y142" s="151">
        <f>+IF(YEAR(Y$140)=YEAR(Assumptions!$G$26),'S&amp;U'!$S$17,0)</f>
        <v>0</v>
      </c>
      <c r="Z142" s="151">
        <f>+IF(YEAR(Z$140)=YEAR(Assumptions!$G$26),'S&amp;U'!$S$17,0)</f>
        <v>0</v>
      </c>
    </row>
    <row r="143" spans="2:26" x14ac:dyDescent="0.35">
      <c r="B143" s="33" t="s">
        <v>165</v>
      </c>
      <c r="F143" s="151">
        <f ca="1">+IFERROR(PPMT(Assumptions!$O$151,F2,Assumptions!$O$153,'S&amp;U'!$S$17),0)</f>
        <v>0</v>
      </c>
      <c r="G143" s="151">
        <f ca="1">+IFERROR(PPMT(Assumptions!$O$151,G2,Assumptions!$O$153,'S&amp;U'!$S$17),0)</f>
        <v>0</v>
      </c>
      <c r="H143" s="151">
        <f ca="1">+IFERROR(PPMT(Assumptions!$O$151,H2,Assumptions!$O$153,'S&amp;U'!$S$17),0)</f>
        <v>0</v>
      </c>
      <c r="I143" s="151">
        <f ca="1">+IFERROR(PPMT(Assumptions!$O$151,I2,Assumptions!$O$153,'S&amp;U'!$S$17),0)</f>
        <v>-1379232.4384517916</v>
      </c>
      <c r="J143" s="151">
        <f ca="1">+IFERROR(PPMT(Assumptions!$O$151,J2,Assumptions!$O$153,'S&amp;U'!$S$17),0)</f>
        <v>-1468882.5469511577</v>
      </c>
      <c r="K143" s="151">
        <f ca="1">+IFERROR(PPMT(Assumptions!$O$151,K2,Assumptions!$O$153,'S&amp;U'!$S$17),0)</f>
        <v>-1564359.9125029831</v>
      </c>
      <c r="L143" s="151">
        <f ca="1">+IFERROR(PPMT(Assumptions!$O$151,L2,Assumptions!$O$153,'S&amp;U'!$S$17),0)</f>
        <v>-1666043.3068156771</v>
      </c>
      <c r="M143" s="151">
        <f ca="1">+IFERROR(PPMT(Assumptions!$O$151,M2,Assumptions!$O$153,'S&amp;U'!$S$17),0)</f>
        <v>-1774336.1217586962</v>
      </c>
      <c r="N143" s="151">
        <f ca="1">+IFERROR(PPMT(Assumptions!$O$151,N2,Assumptions!$O$153,'S&amp;U'!$S$17),0)</f>
        <v>-1889667.9696730115</v>
      </c>
      <c r="O143" s="151">
        <f ca="1">+IFERROR(PPMT(Assumptions!$O$151,O2,Assumptions!$O$153,'S&amp;U'!$S$17),0)</f>
        <v>-2012496.387701757</v>
      </c>
      <c r="P143" s="151">
        <f ca="1">+IFERROR(PPMT(Assumptions!$O$151,P2,Assumptions!$O$153,'S&amp;U'!$S$17),0)</f>
        <v>-2143308.6529023713</v>
      </c>
      <c r="Q143" s="151">
        <f ca="1">+IFERROR(PPMT(Assumptions!$O$151,Q2,Assumptions!$O$153,'S&amp;U'!$S$17),0)</f>
        <v>-2282623.7153410255</v>
      </c>
      <c r="R143" s="151">
        <f ca="1">+IFERROR(PPMT(Assumptions!$O$151,R2,Assumptions!$O$153,'S&amp;U'!$S$17),0)</f>
        <v>-2430994.2568381922</v>
      </c>
      <c r="S143" s="151">
        <f ca="1">+IFERROR(PPMT(Assumptions!$O$151,S2,Assumptions!$O$153,'S&amp;U'!$S$17),0)</f>
        <v>-2589008.883532675</v>
      </c>
      <c r="T143" s="151">
        <f ca="1">+IFERROR(PPMT(Assumptions!$O$151,T2,Assumptions!$O$153,'S&amp;U'!$S$17),0)</f>
        <v>-2757294.4609622988</v>
      </c>
      <c r="U143" s="151">
        <f ca="1">+IFERROR(PPMT(Assumptions!$O$151,U2,Assumptions!$O$153,'S&amp;U'!$S$17),0)</f>
        <v>-2936518.6009248476</v>
      </c>
      <c r="V143" s="151">
        <f ca="1">+IFERROR(PPMT(Assumptions!$O$151,V2,Assumptions!$O$153,'S&amp;U'!$S$17),0)</f>
        <v>-3127392.3099849629</v>
      </c>
      <c r="W143" s="151">
        <f ca="1">+IFERROR(PPMT(Assumptions!$O$151,W2,Assumptions!$O$153,'S&amp;U'!$S$17),0)</f>
        <v>-3330672.8101339862</v>
      </c>
      <c r="X143" s="151">
        <f ca="1">+IFERROR(PPMT(Assumptions!$O$151,X2,Assumptions!$O$153,'S&amp;U'!$S$17),0)</f>
        <v>-3547166.5427926951</v>
      </c>
      <c r="Y143" s="151">
        <f ca="1">+IFERROR(PPMT(Assumptions!$O$151,Y2,Assumptions!$O$153,'S&amp;U'!$S$17),0)</f>
        <v>-3777732.3680742201</v>
      </c>
      <c r="Z143" s="151">
        <f ca="1">+IFERROR(PPMT(Assumptions!$O$151,Z2,Assumptions!$O$153,'S&amp;U'!$S$17),0)</f>
        <v>-4023284.9719990445</v>
      </c>
    </row>
    <row r="144" spans="2:26" x14ac:dyDescent="0.35">
      <c r="B144" s="33" t="s">
        <v>339</v>
      </c>
      <c r="F144" s="151">
        <f t="shared" ref="F144:N144" ca="1" si="92">+SUM(F141:F143)</f>
        <v>0</v>
      </c>
      <c r="G144" s="151">
        <f t="shared" ca="1" si="92"/>
        <v>0</v>
      </c>
      <c r="H144" s="151">
        <f t="shared" ca="1" si="92"/>
        <v>0</v>
      </c>
      <c r="I144" s="151">
        <f t="shared" ca="1" si="92"/>
        <v>117751781.92173362</v>
      </c>
      <c r="J144" s="151">
        <f t="shared" ca="1" si="92"/>
        <v>116282899.37478244</v>
      </c>
      <c r="K144" s="151">
        <f t="shared" ca="1" si="92"/>
        <v>114718539.46227947</v>
      </c>
      <c r="L144" s="151">
        <f t="shared" ca="1" si="92"/>
        <v>113052496.15546377</v>
      </c>
      <c r="M144" s="151">
        <f t="shared" ca="1" si="92"/>
        <v>111278160.03370509</v>
      </c>
      <c r="N144" s="151">
        <f t="shared" ca="1" si="92"/>
        <v>109388492.06403206</v>
      </c>
      <c r="O144" s="151">
        <f t="shared" ref="O144:Z144" ca="1" si="93">+SUM(O141:O143)</f>
        <v>107375995.67633033</v>
      </c>
      <c r="P144" s="151">
        <f t="shared" ca="1" si="93"/>
        <v>105232687.02342795</v>
      </c>
      <c r="Q144" s="151">
        <f t="shared" ca="1" si="93"/>
        <v>102950063.30808693</v>
      </c>
      <c r="R144" s="151">
        <f t="shared" ca="1" si="93"/>
        <v>100519069.05124873</v>
      </c>
      <c r="S144" s="151">
        <f t="shared" ca="1" si="93"/>
        <v>97930060.167716071</v>
      </c>
      <c r="T144" s="151">
        <f t="shared" ca="1" si="93"/>
        <v>95172765.706753761</v>
      </c>
      <c r="U144" s="151">
        <f t="shared" ca="1" si="93"/>
        <v>92236247.105828926</v>
      </c>
      <c r="V144" s="151">
        <f t="shared" ca="1" si="93"/>
        <v>89108854.795843944</v>
      </c>
      <c r="W144" s="151">
        <f t="shared" ca="1" si="93"/>
        <v>85778181.985709965</v>
      </c>
      <c r="X144" s="151">
        <f t="shared" ca="1" si="93"/>
        <v>82231015.442917272</v>
      </c>
      <c r="Y144" s="151">
        <f t="shared" ca="1" si="93"/>
        <v>78453283.074843049</v>
      </c>
      <c r="Z144" s="151">
        <f t="shared" ca="1" si="93"/>
        <v>74429998.102844</v>
      </c>
    </row>
    <row r="146" spans="2:26" x14ac:dyDescent="0.35">
      <c r="B146" s="41" t="s">
        <v>338</v>
      </c>
      <c r="F146" s="34">
        <f ca="1">-IFERROR(IPMT(Assumptions!$O$151,F2,Assumptions!$O$153,'S&amp;U'!$S$17),0)</f>
        <v>0</v>
      </c>
      <c r="G146" s="34">
        <f ca="1">-IFERROR(IPMT(Assumptions!$O$151,G2,Assumptions!$O$153,'S&amp;U'!$S$17),0)</f>
        <v>0</v>
      </c>
      <c r="H146" s="34">
        <f ca="1">-IFERROR(IPMT(Assumptions!$O$151,H2,Assumptions!$O$153,'S&amp;U'!$S$17),0)</f>
        <v>0</v>
      </c>
      <c r="I146" s="34">
        <f ca="1">-IFERROR(IPMT(Assumptions!$O$151,I2,Assumptions!$O$153,'S&amp;U'!$S$17),0)</f>
        <v>7743515.9334120518</v>
      </c>
      <c r="J146" s="34">
        <f ca="1">-IFERROR(IPMT(Assumptions!$O$151,J2,Assumptions!$O$153,'S&amp;U'!$S$17),0)</f>
        <v>7653865.8249126868</v>
      </c>
      <c r="K146" s="34">
        <f ca="1">-IFERROR(IPMT(Assumptions!$O$151,K2,Assumptions!$O$153,'S&amp;U'!$S$17),0)</f>
        <v>7558388.4593608612</v>
      </c>
      <c r="L146" s="34">
        <f ca="1">-IFERROR(IPMT(Assumptions!$O$151,L2,Assumptions!$O$153,'S&amp;U'!$S$17),0)</f>
        <v>7456705.0650481666</v>
      </c>
      <c r="M146" s="34">
        <f ca="1">-IFERROR(IPMT(Assumptions!$O$151,M2,Assumptions!$O$153,'S&amp;U'!$S$17),0)</f>
        <v>7348412.2501051472</v>
      </c>
      <c r="N146" s="34">
        <f ca="1">-IFERROR(IPMT(Assumptions!$O$151,N2,Assumptions!$O$153,'S&amp;U'!$S$17),0)</f>
        <v>7233080.4021908315</v>
      </c>
      <c r="O146" s="34">
        <f ca="1">-IFERROR(IPMT(Assumptions!$O$151,O2,Assumptions!$O$153,'S&amp;U'!$S$17),0)</f>
        <v>7110251.9841620876</v>
      </c>
      <c r="P146" s="34">
        <f ca="1">-IFERROR(IPMT(Assumptions!$O$151,P2,Assumptions!$O$153,'S&amp;U'!$S$17),0)</f>
        <v>6979439.7189614726</v>
      </c>
      <c r="Q146" s="34">
        <f ca="1">-IFERROR(IPMT(Assumptions!$O$151,Q2,Assumptions!$O$153,'S&amp;U'!$S$17),0)</f>
        <v>6840124.6565228188</v>
      </c>
      <c r="R146" s="34">
        <f ca="1">-IFERROR(IPMT(Assumptions!$O$151,R2,Assumptions!$O$153,'S&amp;U'!$S$17),0)</f>
        <v>6691754.1150256516</v>
      </c>
      <c r="S146" s="34">
        <f ca="1">-IFERROR(IPMT(Assumptions!$O$151,S2,Assumptions!$O$153,'S&amp;U'!$S$17),0)</f>
        <v>6533739.4883311698</v>
      </c>
      <c r="T146" s="34">
        <f ca="1">-IFERROR(IPMT(Assumptions!$O$151,T2,Assumptions!$O$153,'S&amp;U'!$S$17),0)</f>
        <v>6365453.9109015446</v>
      </c>
      <c r="U146" s="34">
        <f ca="1">-IFERROR(IPMT(Assumptions!$O$151,U2,Assumptions!$O$153,'S&amp;U'!$S$17),0)</f>
        <v>6186229.7709389953</v>
      </c>
      <c r="V146" s="34">
        <f ca="1">-IFERROR(IPMT(Assumptions!$O$151,V2,Assumptions!$O$153,'S&amp;U'!$S$17),0)</f>
        <v>5995356.0618788805</v>
      </c>
      <c r="W146" s="34">
        <f ca="1">-IFERROR(IPMT(Assumptions!$O$151,W2,Assumptions!$O$153,'S&amp;U'!$S$17),0)</f>
        <v>5792075.5617298577</v>
      </c>
      <c r="X146" s="34">
        <f ca="1">-IFERROR(IPMT(Assumptions!$O$151,X2,Assumptions!$O$153,'S&amp;U'!$S$17),0)</f>
        <v>5575581.8290711483</v>
      </c>
      <c r="Y146" s="34">
        <f ca="1">-IFERROR(IPMT(Assumptions!$O$151,Y2,Assumptions!$O$153,'S&amp;U'!$S$17),0)</f>
        <v>5345016.0037896233</v>
      </c>
      <c r="Z146" s="34">
        <f ca="1">-IFERROR(IPMT(Assumptions!$O$151,Z2,Assumptions!$O$153,'S&amp;U'!$S$17),0)</f>
        <v>5099463.3998647993</v>
      </c>
    </row>
    <row r="147" spans="2:26" x14ac:dyDescent="0.35">
      <c r="B147" s="137" t="s">
        <v>347</v>
      </c>
      <c r="C147" s="137"/>
      <c r="D147" s="137"/>
      <c r="E147" s="137"/>
      <c r="F147" s="129">
        <f t="shared" ref="F147:K147" ca="1" si="94">+F146-F143</f>
        <v>0</v>
      </c>
      <c r="G147" s="129">
        <f t="shared" ca="1" si="94"/>
        <v>0</v>
      </c>
      <c r="H147" s="129">
        <f t="shared" ca="1" si="94"/>
        <v>0</v>
      </c>
      <c r="I147" s="129">
        <f t="shared" ca="1" si="94"/>
        <v>9122748.3718638439</v>
      </c>
      <c r="J147" s="129">
        <f t="shared" ca="1" si="94"/>
        <v>9122748.3718638439</v>
      </c>
      <c r="K147" s="129">
        <f t="shared" ca="1" si="94"/>
        <v>9122748.3718638439</v>
      </c>
      <c r="L147" s="129">
        <f ca="1">+L146-L143</f>
        <v>9122748.3718638439</v>
      </c>
      <c r="M147" s="129">
        <f t="shared" ref="M147:Z147" ca="1" si="95">+M146-M143</f>
        <v>9122748.3718638439</v>
      </c>
      <c r="N147" s="129">
        <f t="shared" ca="1" si="95"/>
        <v>9122748.371863842</v>
      </c>
      <c r="O147" s="129">
        <f t="shared" ca="1" si="95"/>
        <v>9122748.3718638439</v>
      </c>
      <c r="P147" s="129">
        <f t="shared" ca="1" si="95"/>
        <v>9122748.3718638439</v>
      </c>
      <c r="Q147" s="129">
        <f t="shared" ca="1" si="95"/>
        <v>9122748.3718638439</v>
      </c>
      <c r="R147" s="129">
        <f t="shared" ca="1" si="95"/>
        <v>9122748.3718638439</v>
      </c>
      <c r="S147" s="129">
        <f t="shared" ca="1" si="95"/>
        <v>9122748.3718638457</v>
      </c>
      <c r="T147" s="129">
        <f t="shared" ca="1" si="95"/>
        <v>9122748.3718638439</v>
      </c>
      <c r="U147" s="129">
        <f t="shared" ca="1" si="95"/>
        <v>9122748.371863842</v>
      </c>
      <c r="V147" s="129">
        <f t="shared" ca="1" si="95"/>
        <v>9122748.3718638439</v>
      </c>
      <c r="W147" s="129">
        <f t="shared" ca="1" si="95"/>
        <v>9122748.3718638439</v>
      </c>
      <c r="X147" s="129">
        <f t="shared" ca="1" si="95"/>
        <v>9122748.3718638439</v>
      </c>
      <c r="Y147" s="129">
        <f t="shared" ca="1" si="95"/>
        <v>9122748.3718638439</v>
      </c>
      <c r="Z147" s="129">
        <f t="shared" ca="1" si="95"/>
        <v>9122748.3718638439</v>
      </c>
    </row>
    <row r="148" spans="2:26" x14ac:dyDescent="0.35">
      <c r="B148" s="146" t="s">
        <v>184</v>
      </c>
      <c r="F148" s="180" t="str">
        <f ca="1">+IFERROR(F138/F147,"")</f>
        <v/>
      </c>
      <c r="G148" s="180" t="str">
        <f t="shared" ref="G148:Z148" ca="1" si="96">+IFERROR(G138/G147,"")</f>
        <v/>
      </c>
      <c r="H148" s="180" t="str">
        <f t="shared" ca="1" si="96"/>
        <v/>
      </c>
      <c r="I148" s="180">
        <f t="shared" ca="1" si="96"/>
        <v>0.60568859286439458</v>
      </c>
      <c r="J148" s="180">
        <f t="shared" ca="1" si="96"/>
        <v>1.2278939257530566</v>
      </c>
      <c r="K148" s="180">
        <f t="shared" ca="1" si="96"/>
        <v>1.2500000000000007</v>
      </c>
      <c r="L148" s="180">
        <f t="shared" ca="1" si="96"/>
        <v>1.3386951234570279</v>
      </c>
      <c r="M148" s="180">
        <f t="shared" ca="1" si="96"/>
        <v>1.357001485165384</v>
      </c>
      <c r="N148" s="180">
        <f t="shared" ca="1" si="96"/>
        <v>1.381051387693484</v>
      </c>
      <c r="O148" s="180">
        <f t="shared" ca="1" si="96"/>
        <v>1.4057870977719074</v>
      </c>
      <c r="P148" s="180">
        <f t="shared" ca="1" si="96"/>
        <v>1.4260499064256025</v>
      </c>
      <c r="Q148" s="180">
        <f t="shared" ca="1" si="96"/>
        <v>1.5247728422715892</v>
      </c>
      <c r="R148" s="180">
        <f t="shared" ca="1" si="96"/>
        <v>1.5516874809266599</v>
      </c>
      <c r="S148" s="180">
        <f t="shared" ca="1" si="96"/>
        <v>1.5740887864519126</v>
      </c>
      <c r="T148" s="180">
        <f t="shared" ca="1" si="96"/>
        <v>1.6025633320461723</v>
      </c>
      <c r="U148" s="180">
        <f t="shared" ca="1" si="96"/>
        <v>1.631851921805858</v>
      </c>
      <c r="V148" s="180">
        <f t="shared" ca="1" si="96"/>
        <v>1.7364013822004409</v>
      </c>
      <c r="W148" s="180">
        <f t="shared" ca="1" si="96"/>
        <v>1.7673896051812699</v>
      </c>
      <c r="X148" s="180">
        <f t="shared" ca="1" si="96"/>
        <v>1.7992648225647976</v>
      </c>
      <c r="Y148" s="180">
        <f t="shared" ca="1" si="96"/>
        <v>1.8265572518498077</v>
      </c>
      <c r="Z148" s="180">
        <f t="shared" ca="1" si="96"/>
        <v>1.8602844840404476</v>
      </c>
    </row>
    <row r="150" spans="2:26" x14ac:dyDescent="0.35">
      <c r="B150" s="41" t="s">
        <v>159</v>
      </c>
      <c r="F150" s="34">
        <f>+F142*Assumptions!$O$152</f>
        <v>0</v>
      </c>
      <c r="G150" s="34">
        <f>+G142*Assumptions!$O$152</f>
        <v>0</v>
      </c>
      <c r="H150" s="34">
        <f>+H142*Assumptions!$O$152</f>
        <v>0</v>
      </c>
      <c r="I150" s="34">
        <f ca="1">+I142*Assumptions!$O$152</f>
        <v>893482.60770139063</v>
      </c>
      <c r="J150" s="34">
        <f>+J142*Assumptions!$O$152</f>
        <v>0</v>
      </c>
      <c r="K150" s="34">
        <f>+K142*Assumptions!$O$152</f>
        <v>0</v>
      </c>
      <c r="L150" s="34">
        <f>+L142*Assumptions!$O$152</f>
        <v>0</v>
      </c>
      <c r="M150" s="34">
        <f>+M142*Assumptions!$O$152</f>
        <v>0</v>
      </c>
      <c r="N150" s="34">
        <f>+N142*Assumptions!$O$152</f>
        <v>0</v>
      </c>
      <c r="O150" s="34">
        <f>+O142*Assumptions!$O$152</f>
        <v>0</v>
      </c>
      <c r="P150" s="34">
        <f>+P142*Assumptions!$O$152</f>
        <v>0</v>
      </c>
      <c r="Q150" s="34">
        <f>+Q142*Assumptions!$O$152</f>
        <v>0</v>
      </c>
      <c r="R150" s="34">
        <f>+R142*Assumptions!$O$152</f>
        <v>0</v>
      </c>
      <c r="S150" s="34">
        <f>+S142*Assumptions!$O$152</f>
        <v>0</v>
      </c>
      <c r="T150" s="34">
        <f>+T142*Assumptions!$O$152</f>
        <v>0</v>
      </c>
      <c r="U150" s="34">
        <f>+U142*Assumptions!$O$152</f>
        <v>0</v>
      </c>
      <c r="V150" s="34">
        <f>+V142*Assumptions!$O$152</f>
        <v>0</v>
      </c>
      <c r="W150" s="34">
        <f>+W142*Assumptions!$O$152</f>
        <v>0</v>
      </c>
      <c r="X150" s="34">
        <f>+X142*Assumptions!$O$152</f>
        <v>0</v>
      </c>
      <c r="Y150" s="34">
        <f>+Y142*Assumptions!$O$152</f>
        <v>0</v>
      </c>
      <c r="Z150" s="34">
        <f>+Z142*Assumptions!$O$152</f>
        <v>0</v>
      </c>
    </row>
    <row r="152" spans="2:26" s="157" customFormat="1" x14ac:dyDescent="0.35">
      <c r="B152" s="137" t="s">
        <v>340</v>
      </c>
      <c r="C152" s="137"/>
      <c r="D152" s="137"/>
      <c r="E152" s="137"/>
      <c r="F152" s="129">
        <f ca="1">+F138-F147-F150</f>
        <v>0</v>
      </c>
      <c r="G152" s="129">
        <f t="shared" ref="G152:Z152" ca="1" si="97">+G138-G147-G150</f>
        <v>0</v>
      </c>
      <c r="H152" s="129">
        <f t="shared" ca="1" si="97"/>
        <v>0</v>
      </c>
      <c r="I152" s="129">
        <f t="shared" ca="1" si="97"/>
        <v>-4490686.3551550768</v>
      </c>
      <c r="J152" s="129">
        <f t="shared" ca="1" si="97"/>
        <v>2079018.9401213564</v>
      </c>
      <c r="K152" s="129">
        <f t="shared" ca="1" si="97"/>
        <v>2280687.092965968</v>
      </c>
      <c r="L152" s="129">
        <f t="shared" ca="1" si="97"/>
        <v>3089830.3860758245</v>
      </c>
      <c r="M152" s="129">
        <f t="shared" ca="1" si="97"/>
        <v>3256834.7175454814</v>
      </c>
      <c r="N152" s="129">
        <f t="shared" ca="1" si="97"/>
        <v>3476235.9266771898</v>
      </c>
      <c r="O152" s="129">
        <f t="shared" ca="1" si="97"/>
        <v>3701893.5855220221</v>
      </c>
      <c r="P152" s="129">
        <f t="shared" ca="1" si="97"/>
        <v>3886746.0901769083</v>
      </c>
      <c r="Q152" s="129">
        <f t="shared" ca="1" si="97"/>
        <v>4787370.5924315024</v>
      </c>
      <c r="R152" s="129">
        <f t="shared" ca="1" si="97"/>
        <v>5032906.0684013516</v>
      </c>
      <c r="S152" s="129">
        <f t="shared" ca="1" si="97"/>
        <v>5237267.5419094767</v>
      </c>
      <c r="T152" s="129">
        <f t="shared" ca="1" si="97"/>
        <v>5497033.6563690715</v>
      </c>
      <c r="U152" s="129">
        <f t="shared" ca="1" si="97"/>
        <v>5764226.0909134317</v>
      </c>
      <c r="V152" s="129">
        <f t="shared" ca="1" si="97"/>
        <v>6718004.5105073564</v>
      </c>
      <c r="W152" s="129">
        <f t="shared" ca="1" si="97"/>
        <v>7000702.2712526675</v>
      </c>
      <c r="X152" s="129">
        <f t="shared" ca="1" si="97"/>
        <v>7291491.8587410506</v>
      </c>
      <c r="Y152" s="129">
        <f t="shared" ca="1" si="97"/>
        <v>7540473.8235650863</v>
      </c>
      <c r="Z152" s="129">
        <f t="shared" ca="1" si="97"/>
        <v>7848158.8761197198</v>
      </c>
    </row>
    <row r="154" spans="2:26" x14ac:dyDescent="0.35">
      <c r="B154" s="148" t="s">
        <v>341</v>
      </c>
    </row>
    <row r="155" spans="2:26" x14ac:dyDescent="0.35">
      <c r="B155" s="33" t="s">
        <v>342</v>
      </c>
      <c r="F155" s="34">
        <f>+IF(YEAR(F$140)=YEAR(Assumptions!$G$30),F136+F114+F93+F72+F51+F28,0)</f>
        <v>0</v>
      </c>
      <c r="G155" s="34">
        <f>+IF(YEAR(G$140)=YEAR(Assumptions!$G$30),G136+G114+G93+G72+G51+G28,0)</f>
        <v>0</v>
      </c>
      <c r="H155" s="34">
        <f>+IF(YEAR(H$140)=YEAR(Assumptions!$G$30),H136+H114+H93+H72+H51+H28,0)</f>
        <v>0</v>
      </c>
      <c r="I155" s="34">
        <f>+IF(YEAR(I$140)=YEAR(Assumptions!$G$30),I136+I114+I93+I72+I51+I28,0)</f>
        <v>0</v>
      </c>
      <c r="J155" s="34">
        <f>+IF(YEAR(J$140)=YEAR(Assumptions!$G$30),J136+J114+J93+J72+J51+J28,0)</f>
        <v>0</v>
      </c>
      <c r="K155" s="34">
        <f>+IF(YEAR(K$140)=YEAR(Assumptions!$G$30),K136+K114+K93+K72+K51+K28,0)</f>
        <v>0</v>
      </c>
      <c r="L155" s="34">
        <f>+IF(YEAR(L$140)=YEAR(Assumptions!$G$30),L136+L114+L93+L72+L51+L28,0)</f>
        <v>0</v>
      </c>
      <c r="M155" s="34">
        <f>+IF(YEAR(M$140)=YEAR(Assumptions!$G$30),M136+M114+M93+M72+M51+M28,0)</f>
        <v>0</v>
      </c>
      <c r="N155" s="34">
        <f ca="1">+IF(YEAR(N$140)=YEAR(Assumptions!$G$30),N136+N114+N93+N72+N51+N28,0)</f>
        <v>210949438.78373727</v>
      </c>
      <c r="O155" s="34">
        <f>+IF(YEAR(O$140)=YEAR(Assumptions!$G$30),O136+O114+O93+O72+O51+O28,0)</f>
        <v>0</v>
      </c>
      <c r="P155" s="34">
        <f>+IF(YEAR(P$140)=YEAR(Assumptions!$G$30),P136+P114+P93+P72+P51+P28,0)</f>
        <v>0</v>
      </c>
      <c r="Q155" s="34">
        <f>+IF(YEAR(Q$140)=YEAR(Assumptions!$G$30),Q136+Q114+Q93+Q72+Q51+Q28,0)</f>
        <v>0</v>
      </c>
      <c r="R155" s="34">
        <f>+IF(YEAR(R$140)=YEAR(Assumptions!$G$30),R136+R114+R93+R72+R51+R28,0)</f>
        <v>0</v>
      </c>
      <c r="S155" s="34">
        <f>+IF(YEAR(S$140)=YEAR(Assumptions!$G$30),S136+S114+S93+S72+S51+S28,0)</f>
        <v>0</v>
      </c>
      <c r="T155" s="34">
        <f>+IF(YEAR(T$140)=YEAR(Assumptions!$G$30),T136+T114+T93+T72+T51+T28,0)</f>
        <v>0</v>
      </c>
      <c r="U155" s="34">
        <f>+IF(YEAR(U$140)=YEAR(Assumptions!$G$30),U136+U114+U93+U72+U51+U28,0)</f>
        <v>0</v>
      </c>
      <c r="V155" s="34">
        <f>+IF(YEAR(V$140)=YEAR(Assumptions!$G$30),V136+V114+V93+V72+V51+V28,0)</f>
        <v>0</v>
      </c>
      <c r="W155" s="34">
        <f>+IF(YEAR(W$140)=YEAR(Assumptions!$G$30),W136+W114+W93+W72+W51+W28,0)</f>
        <v>0</v>
      </c>
      <c r="X155" s="34">
        <f>+IF(YEAR(X$140)=YEAR(Assumptions!$G$30),X136+X114+X93+X72+X51+X28,0)</f>
        <v>0</v>
      </c>
      <c r="Y155" s="34">
        <f>+IF(YEAR(Y$140)=YEAR(Assumptions!$G$30),Y136+Y114+Y93+Y72+Y51+Y28,0)</f>
        <v>0</v>
      </c>
      <c r="Z155" s="34">
        <f>+IF(YEAR(Z$140)=YEAR(Assumptions!$G$30),Z136+Z114+Z93+Z72+Z51+Z28,0)</f>
        <v>0</v>
      </c>
    </row>
    <row r="156" spans="2:26" ht="18.5" x14ac:dyDescent="0.35">
      <c r="B156" s="207" t="s">
        <v>375</v>
      </c>
      <c r="C156" s="207"/>
      <c r="D156" s="207"/>
      <c r="E156" s="207"/>
      <c r="F156" s="151">
        <f>+IF(YEAR(F$140)=YEAR(Assumptions!$G$26),('S&amp;U'!$I$23-'S&amp;U'!$S$25),0)</f>
        <v>0</v>
      </c>
      <c r="G156" s="151">
        <f>+IF(YEAR(G$140)=YEAR(Assumptions!$G$26),('S&amp;U'!$I$23-'S&amp;U'!$S$25),0)</f>
        <v>0</v>
      </c>
      <c r="H156" s="151">
        <f>+IF(YEAR(H$140)=YEAR(Assumptions!$G$26),('S&amp;U'!$I$23-'S&amp;U'!$S$25),0)</f>
        <v>0</v>
      </c>
      <c r="I156" s="151">
        <f ca="1">+IF(YEAR(I$140)=YEAR(Assumptions!$G$26),('S&amp;U'!$I$23-'S&amp;U'!$S$25),0)</f>
        <v>24678113.534651399</v>
      </c>
      <c r="J156" s="151">
        <f>+IF(YEAR(J$140)=YEAR(Assumptions!$G$26),('S&amp;U'!$I$23-'S&amp;U'!$S$25),0)</f>
        <v>0</v>
      </c>
      <c r="K156" s="151">
        <f>+IF(YEAR(K$140)=YEAR(Assumptions!$G$26),('S&amp;U'!$I$23-'S&amp;U'!$S$25),0)</f>
        <v>0</v>
      </c>
      <c r="L156" s="151">
        <f>+IF(YEAR(L$140)=YEAR(Assumptions!$G$26),('S&amp;U'!$I$23-'S&amp;U'!$S$25),0)</f>
        <v>0</v>
      </c>
      <c r="M156" s="151">
        <f>+IF(YEAR(M$140)=YEAR(Assumptions!$G$26),('S&amp;U'!$I$23-'S&amp;U'!$S$25),0)</f>
        <v>0</v>
      </c>
      <c r="N156" s="151">
        <f>+IF(YEAR(N$140)=YEAR(Assumptions!$G$26),('S&amp;U'!$I$23-'S&amp;U'!$S$25),0)</f>
        <v>0</v>
      </c>
      <c r="O156" s="151">
        <f>+IF(YEAR(O$140)=YEAR(Assumptions!$G$26),('S&amp;U'!$I$23-'S&amp;U'!$S$25),0)</f>
        <v>0</v>
      </c>
      <c r="P156" s="151">
        <f>+IF(YEAR(P$140)=YEAR(Assumptions!$G$26),('S&amp;U'!$I$23-'S&amp;U'!$S$25),0)</f>
        <v>0</v>
      </c>
      <c r="Q156" s="151">
        <f>+IF(YEAR(Q$140)=YEAR(Assumptions!$G$26),('S&amp;U'!$I$23-'S&amp;U'!$S$25),0)</f>
        <v>0</v>
      </c>
      <c r="R156" s="151">
        <f>+IF(YEAR(R$140)=YEAR(Assumptions!$G$26),('S&amp;U'!$I$23-'S&amp;U'!$S$25),0)</f>
        <v>0</v>
      </c>
      <c r="S156" s="151">
        <f>+IF(YEAR(S$140)=YEAR(Assumptions!$G$26),('S&amp;U'!$I$23-'S&amp;U'!$S$25),0)</f>
        <v>0</v>
      </c>
      <c r="T156" s="151">
        <f>+IF(YEAR(T$140)=YEAR(Assumptions!$G$26),('S&amp;U'!$I$23-'S&amp;U'!$S$25),0)</f>
        <v>0</v>
      </c>
      <c r="U156" s="151">
        <f>+IF(YEAR(U$140)=YEAR(Assumptions!$G$26),('S&amp;U'!$I$23-'S&amp;U'!$S$25),0)</f>
        <v>0</v>
      </c>
      <c r="V156" s="151">
        <f>+IF(YEAR(V$140)=YEAR(Assumptions!$G$26),('S&amp;U'!$I$23-'S&amp;U'!$S$25),0)</f>
        <v>0</v>
      </c>
      <c r="W156" s="151">
        <f>+IF(YEAR(W$140)=YEAR(Assumptions!$G$26),('S&amp;U'!$I$23-'S&amp;U'!$S$25),0)</f>
        <v>0</v>
      </c>
      <c r="X156" s="151">
        <f>+IF(YEAR(X$140)=YEAR(Assumptions!$G$26),('S&amp;U'!$I$23-'S&amp;U'!$S$25),0)</f>
        <v>0</v>
      </c>
      <c r="Y156" s="151">
        <f>+IF(YEAR(Y$140)=YEAR(Assumptions!$G$26),('S&amp;U'!$I$23-'S&amp;U'!$S$25),0)</f>
        <v>0</v>
      </c>
      <c r="Z156" s="151">
        <f>+IF(YEAR(Z$140)=YEAR(Assumptions!$G$26),('S&amp;U'!$I$23-'S&amp;U'!$S$25),0)</f>
        <v>0</v>
      </c>
    </row>
    <row r="157" spans="2:26" x14ac:dyDescent="0.35">
      <c r="B157" s="33" t="s">
        <v>343</v>
      </c>
      <c r="F157" s="151">
        <f>-F155*Assumptions!$O$136</f>
        <v>0</v>
      </c>
      <c r="G157" s="151">
        <f>-G155*Assumptions!$O$136</f>
        <v>0</v>
      </c>
      <c r="H157" s="151">
        <f>-H155*Assumptions!$O$136</f>
        <v>0</v>
      </c>
      <c r="I157" s="151">
        <f>-I155*Assumptions!$O$136</f>
        <v>0</v>
      </c>
      <c r="J157" s="151">
        <f>-J155*Assumptions!$O$136</f>
        <v>0</v>
      </c>
      <c r="K157" s="151">
        <f>-K155*Assumptions!$O$136</f>
        <v>0</v>
      </c>
      <c r="L157" s="151">
        <f>-L155*Assumptions!$O$136</f>
        <v>0</v>
      </c>
      <c r="M157" s="151">
        <f>-M155*Assumptions!$O$136</f>
        <v>0</v>
      </c>
      <c r="N157" s="151">
        <f ca="1">-N155*Assumptions!$O$136</f>
        <v>-4218988.7756747454</v>
      </c>
      <c r="O157" s="151">
        <f>-O155*Assumptions!$O$136</f>
        <v>0</v>
      </c>
      <c r="P157" s="151">
        <f>-P155*Assumptions!$O$136</f>
        <v>0</v>
      </c>
      <c r="Q157" s="151">
        <f>-Q155*Assumptions!$O$136</f>
        <v>0</v>
      </c>
      <c r="R157" s="151">
        <f>-R155*Assumptions!$O$136</f>
        <v>0</v>
      </c>
      <c r="S157" s="151">
        <f>-S155*Assumptions!$O$136</f>
        <v>0</v>
      </c>
      <c r="T157" s="151">
        <f>-T155*Assumptions!$O$136</f>
        <v>0</v>
      </c>
      <c r="U157" s="151">
        <f>-U155*Assumptions!$O$136</f>
        <v>0</v>
      </c>
      <c r="V157" s="151">
        <f>-V155*Assumptions!$O$136</f>
        <v>0</v>
      </c>
      <c r="W157" s="151">
        <f>-W155*Assumptions!$O$136</f>
        <v>0</v>
      </c>
      <c r="X157" s="151">
        <f>-X155*Assumptions!$O$136</f>
        <v>0</v>
      </c>
      <c r="Y157" s="151">
        <f>-Y155*Assumptions!$O$136</f>
        <v>0</v>
      </c>
      <c r="Z157" s="151">
        <f>-Z155*Assumptions!$O$136</f>
        <v>0</v>
      </c>
    </row>
    <row r="158" spans="2:26" x14ac:dyDescent="0.35">
      <c r="B158" s="33" t="s">
        <v>344</v>
      </c>
      <c r="F158" s="151">
        <f>+IF(YEAR(F$140)=YEAR(Assumptions!$G$30),-F144,0)</f>
        <v>0</v>
      </c>
      <c r="G158" s="151">
        <f>+IF(YEAR(G$140)=YEAR(Assumptions!$G$30),-G144,0)</f>
        <v>0</v>
      </c>
      <c r="H158" s="151">
        <f>+IF(YEAR(H$140)=YEAR(Assumptions!$G$30),-H144,0)</f>
        <v>0</v>
      </c>
      <c r="I158" s="151">
        <f>+IF(YEAR(I$140)=YEAR(Assumptions!$G$30),-I144,0)</f>
        <v>0</v>
      </c>
      <c r="J158" s="151">
        <f>+IF(YEAR(J$140)=YEAR(Assumptions!$G$30),-J144,0)</f>
        <v>0</v>
      </c>
      <c r="K158" s="151">
        <f>+IF(YEAR(K$140)=YEAR(Assumptions!$G$30),-K144,0)</f>
        <v>0</v>
      </c>
      <c r="L158" s="151">
        <f>+IF(YEAR(L$140)=YEAR(Assumptions!$G$30),-L144,0)</f>
        <v>0</v>
      </c>
      <c r="M158" s="151">
        <f>+IF(YEAR(M$140)=YEAR(Assumptions!$G$30),-M144,0)</f>
        <v>0</v>
      </c>
      <c r="N158" s="151">
        <f ca="1">+IF(YEAR(N$140)=YEAR(Assumptions!$G$30),-N144,0)</f>
        <v>-109388492.06403206</v>
      </c>
      <c r="O158" s="151">
        <f>+IF(YEAR(O$140)=YEAR(Assumptions!$G$30),-O144,0)</f>
        <v>0</v>
      </c>
      <c r="P158" s="151">
        <f>+IF(YEAR(P$140)=YEAR(Assumptions!$G$30),-P144,0)</f>
        <v>0</v>
      </c>
      <c r="Q158" s="151">
        <f>+IF(YEAR(Q$140)=YEAR(Assumptions!$G$30),-Q144,0)</f>
        <v>0</v>
      </c>
      <c r="R158" s="151">
        <f>+IF(YEAR(R$140)=YEAR(Assumptions!$G$30),-R144,0)</f>
        <v>0</v>
      </c>
      <c r="S158" s="151">
        <f>+IF(YEAR(S$140)=YEAR(Assumptions!$G$30),-S144,0)</f>
        <v>0</v>
      </c>
      <c r="T158" s="151">
        <f>+IF(YEAR(T$140)=YEAR(Assumptions!$G$30),-T144,0)</f>
        <v>0</v>
      </c>
      <c r="U158" s="151">
        <f>+IF(YEAR(U$140)=YEAR(Assumptions!$G$30),-U144,0)</f>
        <v>0</v>
      </c>
      <c r="V158" s="151">
        <f>+IF(YEAR(V$140)=YEAR(Assumptions!$G$30),-V144,0)</f>
        <v>0</v>
      </c>
      <c r="W158" s="151">
        <f>+IF(YEAR(W$140)=YEAR(Assumptions!$G$30),-W144,0)</f>
        <v>0</v>
      </c>
      <c r="X158" s="151">
        <f>+IF(YEAR(X$140)=YEAR(Assumptions!$G$30),-X144,0)</f>
        <v>0</v>
      </c>
      <c r="Y158" s="151">
        <f>+IF(YEAR(Y$140)=YEAR(Assumptions!$G$30),-Y144,0)</f>
        <v>0</v>
      </c>
      <c r="Z158" s="151">
        <f>+IF(YEAR(Z$140)=YEAR(Assumptions!$G$30),-Z144,0)</f>
        <v>0</v>
      </c>
    </row>
    <row r="159" spans="2:26" x14ac:dyDescent="0.35">
      <c r="B159" s="137" t="s">
        <v>345</v>
      </c>
      <c r="C159" s="137"/>
      <c r="D159" s="137"/>
      <c r="E159" s="137"/>
      <c r="F159" s="129">
        <f>+SUM(F155:F158)</f>
        <v>0</v>
      </c>
      <c r="G159" s="129">
        <f t="shared" ref="G159:Z159" si="98">+SUM(G155:G158)</f>
        <v>0</v>
      </c>
      <c r="H159" s="129">
        <f t="shared" si="98"/>
        <v>0</v>
      </c>
      <c r="I159" s="129">
        <f t="shared" ca="1" si="98"/>
        <v>24678113.534651399</v>
      </c>
      <c r="J159" s="129">
        <f t="shared" si="98"/>
        <v>0</v>
      </c>
      <c r="K159" s="129">
        <f t="shared" si="98"/>
        <v>0</v>
      </c>
      <c r="L159" s="129">
        <f t="shared" si="98"/>
        <v>0</v>
      </c>
      <c r="M159" s="129">
        <f t="shared" si="98"/>
        <v>0</v>
      </c>
      <c r="N159" s="129">
        <f t="shared" ca="1" si="98"/>
        <v>97341957.944030479</v>
      </c>
      <c r="O159" s="129">
        <f t="shared" si="98"/>
        <v>0</v>
      </c>
      <c r="P159" s="129">
        <f t="shared" si="98"/>
        <v>0</v>
      </c>
      <c r="Q159" s="129">
        <f t="shared" si="98"/>
        <v>0</v>
      </c>
      <c r="R159" s="129">
        <f t="shared" si="98"/>
        <v>0</v>
      </c>
      <c r="S159" s="129">
        <f t="shared" si="98"/>
        <v>0</v>
      </c>
      <c r="T159" s="129">
        <f t="shared" si="98"/>
        <v>0</v>
      </c>
      <c r="U159" s="129">
        <f t="shared" si="98"/>
        <v>0</v>
      </c>
      <c r="V159" s="129">
        <f t="shared" si="98"/>
        <v>0</v>
      </c>
      <c r="W159" s="129">
        <f t="shared" si="98"/>
        <v>0</v>
      </c>
      <c r="X159" s="129">
        <f t="shared" si="98"/>
        <v>0</v>
      </c>
      <c r="Y159" s="129">
        <f t="shared" si="98"/>
        <v>0</v>
      </c>
      <c r="Z159" s="129">
        <f t="shared" si="98"/>
        <v>0</v>
      </c>
    </row>
    <row r="160" spans="2:26" x14ac:dyDescent="0.35">
      <c r="B160" s="208" t="s">
        <v>781</v>
      </c>
    </row>
    <row r="162" spans="2:26" x14ac:dyDescent="0.35">
      <c r="B162" s="138" t="s">
        <v>346</v>
      </c>
      <c r="C162" s="138"/>
      <c r="D162" s="138"/>
      <c r="E162" s="138"/>
      <c r="F162" s="139">
        <f ca="1">+IF(YEAR(F$140)&lt;=YEAR(Assumptions!$G$30),'Phase II Pro Forma'!F159+'Phase II Pro Forma'!F152,0)</f>
        <v>0</v>
      </c>
      <c r="G162" s="139">
        <f ca="1">+IF(YEAR(G$140)&lt;=YEAR(Assumptions!$G$30),'Phase II Pro Forma'!G159+'Phase II Pro Forma'!G152,0)</f>
        <v>0</v>
      </c>
      <c r="H162" s="139">
        <f ca="1">+IF(YEAR(H$140)&lt;=YEAR(Assumptions!$G$30),'Phase II Pro Forma'!H159+'Phase II Pro Forma'!H152,0)</f>
        <v>0</v>
      </c>
      <c r="I162" s="139">
        <f ca="1">+IF(YEAR(I$140)&lt;=YEAR(Assumptions!$G$30),'Phase II Pro Forma'!I159+'Phase II Pro Forma'!I152,0)</f>
        <v>20187427.179496322</v>
      </c>
      <c r="J162" s="139">
        <f ca="1">+IF(YEAR(J$140)&lt;=YEAR(Assumptions!$G$30),'Phase II Pro Forma'!J159+'Phase II Pro Forma'!J152,0)</f>
        <v>2079018.9401213564</v>
      </c>
      <c r="K162" s="139">
        <f ca="1">+IF(YEAR(K$140)&lt;=YEAR(Assumptions!$G$30),'Phase II Pro Forma'!K159+'Phase II Pro Forma'!K152,0)</f>
        <v>2280687.092965968</v>
      </c>
      <c r="L162" s="139">
        <f ca="1">+IF(YEAR(L$140)&lt;=YEAR(Assumptions!$G$30),'Phase II Pro Forma'!L159+'Phase II Pro Forma'!L152,0)</f>
        <v>3089830.3860758245</v>
      </c>
      <c r="M162" s="139">
        <f ca="1">+IF(YEAR(M$140)&lt;=YEAR(Assumptions!$G$30),'Phase II Pro Forma'!M159+'Phase II Pro Forma'!M152,0)</f>
        <v>3256834.7175454814</v>
      </c>
      <c r="N162" s="139">
        <f ca="1">+IF(YEAR(N$140)&lt;=YEAR(Assumptions!$G$30),'Phase II Pro Forma'!N159+'Phase II Pro Forma'!N152,0)</f>
        <v>100818193.87070766</v>
      </c>
      <c r="O162" s="139">
        <f>+IF(YEAR(O$140)&lt;=YEAR(Assumptions!$G$30),'Phase II Pro Forma'!O159+'Phase II Pro Forma'!O152,0)</f>
        <v>0</v>
      </c>
      <c r="P162" s="139">
        <f>+IF(YEAR(P$140)&lt;=YEAR(Assumptions!$G$30),'Phase II Pro Forma'!P159+'Phase II Pro Forma'!P152,0)</f>
        <v>0</v>
      </c>
      <c r="Q162" s="139">
        <f>+IF(YEAR(Q$140)&lt;=YEAR(Assumptions!$G$30),'Phase II Pro Forma'!Q159+'Phase II Pro Forma'!Q152,0)</f>
        <v>0</v>
      </c>
      <c r="R162" s="139">
        <f>+IF(YEAR(R$140)&lt;=YEAR(Assumptions!$G$30),'Phase II Pro Forma'!R159+'Phase II Pro Forma'!R152,0)</f>
        <v>0</v>
      </c>
      <c r="S162" s="139">
        <f>+IF(YEAR(S$140)&lt;=YEAR(Assumptions!$G$30),'Phase II Pro Forma'!S159+'Phase II Pro Forma'!S152,0)</f>
        <v>0</v>
      </c>
      <c r="T162" s="139">
        <f>+IF(YEAR(T$140)&lt;=YEAR(Assumptions!$G$30),'Phase II Pro Forma'!T159+'Phase II Pro Forma'!T152,0)</f>
        <v>0</v>
      </c>
      <c r="U162" s="139">
        <f>+IF(YEAR(U$140)&lt;=YEAR(Assumptions!$G$30),'Phase II Pro Forma'!U159+'Phase II Pro Forma'!U152,0)</f>
        <v>0</v>
      </c>
      <c r="V162" s="139">
        <f>+IF(YEAR(V$140)&lt;=YEAR(Assumptions!$G$30),'Phase II Pro Forma'!V159+'Phase II Pro Forma'!V152,0)</f>
        <v>0</v>
      </c>
      <c r="W162" s="139">
        <f>+IF(YEAR(W$140)&lt;=YEAR(Assumptions!$G$30),'Phase II Pro Forma'!W159+'Phase II Pro Forma'!W152,0)</f>
        <v>0</v>
      </c>
      <c r="X162" s="139">
        <f>+IF(YEAR(X$140)&lt;=YEAR(Assumptions!$G$30),'Phase II Pro Forma'!X159+'Phase II Pro Forma'!X152,0)</f>
        <v>0</v>
      </c>
      <c r="Y162" s="139">
        <f>+IF(YEAR(Y$140)&lt;=YEAR(Assumptions!$G$30),'Phase II Pro Forma'!Y159+'Phase II Pro Forma'!Y152,0)</f>
        <v>0</v>
      </c>
      <c r="Z162" s="139">
        <f>+IF(YEAR(Z$140)&lt;=YEAR(Assumptions!$G$30),'Phase II Pro Forma'!Z159+'Phase II Pro Forma'!Z152,0)</f>
        <v>0</v>
      </c>
    </row>
    <row r="164" spans="2:26" x14ac:dyDescent="0.35">
      <c r="B164" s="37" t="s">
        <v>778</v>
      </c>
      <c r="C164" s="38"/>
      <c r="D164" s="38"/>
      <c r="E164" s="38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</row>
    <row r="166" spans="2:26" x14ac:dyDescent="0.35">
      <c r="B166" s="148" t="s">
        <v>26</v>
      </c>
      <c r="C166" s="149"/>
      <c r="D166" s="149"/>
      <c r="E166" s="149"/>
      <c r="F166" s="150">
        <f>+Assumptions!$G$22</f>
        <v>44926</v>
      </c>
      <c r="G166" s="150">
        <f>+EOMONTH(F166,12)</f>
        <v>45291</v>
      </c>
      <c r="H166" s="150">
        <f t="shared" ref="H166:Z166" si="99">+EOMONTH(G166,12)</f>
        <v>45657</v>
      </c>
      <c r="I166" s="150">
        <f t="shared" si="99"/>
        <v>46022</v>
      </c>
      <c r="J166" s="150">
        <f t="shared" si="99"/>
        <v>46387</v>
      </c>
      <c r="K166" s="150">
        <f t="shared" si="99"/>
        <v>46752</v>
      </c>
      <c r="L166" s="150">
        <f t="shared" si="99"/>
        <v>47118</v>
      </c>
      <c r="M166" s="150">
        <f t="shared" si="99"/>
        <v>47483</v>
      </c>
      <c r="N166" s="150">
        <f t="shared" si="99"/>
        <v>47848</v>
      </c>
      <c r="O166" s="150">
        <f t="shared" si="99"/>
        <v>48213</v>
      </c>
      <c r="P166" s="150">
        <f t="shared" si="99"/>
        <v>48579</v>
      </c>
      <c r="Q166" s="150">
        <f t="shared" si="99"/>
        <v>48944</v>
      </c>
      <c r="R166" s="150">
        <f t="shared" si="99"/>
        <v>49309</v>
      </c>
      <c r="S166" s="150">
        <f t="shared" si="99"/>
        <v>49674</v>
      </c>
      <c r="T166" s="150">
        <f t="shared" si="99"/>
        <v>50040</v>
      </c>
      <c r="U166" s="150">
        <f t="shared" si="99"/>
        <v>50405</v>
      </c>
      <c r="V166" s="150">
        <f t="shared" si="99"/>
        <v>50770</v>
      </c>
      <c r="W166" s="150">
        <f t="shared" si="99"/>
        <v>51135</v>
      </c>
      <c r="X166" s="150">
        <f t="shared" si="99"/>
        <v>51501</v>
      </c>
      <c r="Y166" s="150">
        <f t="shared" si="99"/>
        <v>51866</v>
      </c>
      <c r="Z166" s="150">
        <f t="shared" si="99"/>
        <v>52231</v>
      </c>
    </row>
    <row r="167" spans="2:26" x14ac:dyDescent="0.35">
      <c r="B167" s="33" t="s">
        <v>767</v>
      </c>
      <c r="C167" s="33"/>
      <c r="D167" s="40"/>
      <c r="E167" s="40"/>
      <c r="F167" s="42">
        <f>+IF(AND(F166&gt;=Assumptions!$G$26,F166&lt;Assumptions!$G$28),Assumptions!$G$93/ROUNDUP((Assumptions!$G$27/12),0),0)</f>
        <v>0</v>
      </c>
      <c r="G167" s="42">
        <f>+IF(AND(G166&gt;=Assumptions!$G$26,G166&lt;Assumptions!$G$28),Assumptions!$G$93/ROUNDUP((Assumptions!$G$27/12),0),0)</f>
        <v>0</v>
      </c>
      <c r="H167" s="42">
        <f>+IF(AND(H166&gt;=Assumptions!$G$26,H166&lt;Assumptions!$G$28),Assumptions!$G$93/ROUNDUP((Assumptions!$G$27/12),0),0)</f>
        <v>0</v>
      </c>
      <c r="I167" s="42">
        <f>+IF(AND(I166&gt;=Assumptions!$G$26,I166&lt;Assumptions!$G$28),Assumptions!$G$93/ROUNDUP((Assumptions!$G$27/12),0),0)</f>
        <v>115.94133333333335</v>
      </c>
      <c r="J167" s="42">
        <f>+IF(AND(J166&gt;=Assumptions!$G$26,J166&lt;Assumptions!$G$28),Assumptions!$G$93/ROUNDUP((Assumptions!$G$27/12),0),0)</f>
        <v>115.94133333333335</v>
      </c>
      <c r="K167" s="42">
        <f>+IF(AND(K166&gt;=Assumptions!$G$26,K166&lt;Assumptions!$G$28),Assumptions!$G$93/ROUNDUP((Assumptions!$G$27/12),0),0)</f>
        <v>0</v>
      </c>
      <c r="L167" s="42">
        <f>+IF(AND(L166&gt;=Assumptions!$G$26,L166&lt;Assumptions!$G$28),Assumptions!$G$93/ROUNDUP((Assumptions!$G$27/12),0),0)</f>
        <v>0</v>
      </c>
      <c r="M167" s="42">
        <f>+IF(AND(M166&gt;=Assumptions!$G$26,M166&lt;Assumptions!$G$28),Assumptions!$G$93/ROUNDUP((Assumptions!$G$27/12),0),0)</f>
        <v>0</v>
      </c>
      <c r="N167" s="42">
        <f>+IF(AND(N166&gt;=Assumptions!$G$26,N166&lt;Assumptions!$G$28),Assumptions!$G$93/ROUNDUP((Assumptions!$G$27/12),0),0)</f>
        <v>0</v>
      </c>
      <c r="O167" s="42">
        <f>+IF(AND(O166&gt;=Assumptions!$G$26,O166&lt;Assumptions!$G$28),Assumptions!$G$93/ROUNDUP((Assumptions!$G$27/12),0),0)</f>
        <v>0</v>
      </c>
      <c r="P167" s="42">
        <f>+IF(AND(P166&gt;=Assumptions!$G$26,P166&lt;Assumptions!$G$28),Assumptions!$G$93/ROUNDUP((Assumptions!$G$27/12),0),0)</f>
        <v>0</v>
      </c>
      <c r="Q167" s="42">
        <f>+IF(AND(Q166&gt;=Assumptions!$G$26,Q166&lt;Assumptions!$G$28),Assumptions!$G$93/ROUNDUP((Assumptions!$G$27/12),0),0)</f>
        <v>0</v>
      </c>
      <c r="R167" s="42">
        <f>+IF(AND(R166&gt;=Assumptions!$G$26,R166&lt;Assumptions!$G$28),Assumptions!$G$93/ROUNDUP((Assumptions!$G$27/12),0),0)</f>
        <v>0</v>
      </c>
      <c r="S167" s="42">
        <f>+IF(AND(S166&gt;=Assumptions!$G$26,S166&lt;Assumptions!$G$28),Assumptions!$G$93/ROUNDUP((Assumptions!$G$27/12),0),0)</f>
        <v>0</v>
      </c>
      <c r="T167" s="42">
        <f>+IF(AND(T166&gt;=Assumptions!$G$26,T166&lt;Assumptions!$G$28),Assumptions!$G$93/ROUNDUP((Assumptions!$G$27/12),0),0)</f>
        <v>0</v>
      </c>
      <c r="U167" s="42">
        <f>+IF(AND(U166&gt;=Assumptions!$G$26,U166&lt;Assumptions!$G$28),Assumptions!$G$93/ROUNDUP((Assumptions!$G$27/12),0),0)</f>
        <v>0</v>
      </c>
      <c r="V167" s="42">
        <f>+IF(AND(V166&gt;=Assumptions!$G$26,V166&lt;Assumptions!$G$28),Assumptions!$G$93/ROUNDUP((Assumptions!$G$27/12),0),0)</f>
        <v>0</v>
      </c>
      <c r="W167" s="42">
        <f>+IF(AND(W166&gt;=Assumptions!$G$26,W166&lt;Assumptions!$G$28),Assumptions!$G$93/ROUNDUP((Assumptions!$G$27/12),0),0)</f>
        <v>0</v>
      </c>
      <c r="X167" s="42">
        <f>+IF(AND(X166&gt;=Assumptions!$G$26,X166&lt;Assumptions!$G$28),Assumptions!$G$93/ROUNDUP((Assumptions!$G$27/12),0),0)</f>
        <v>0</v>
      </c>
      <c r="Y167" s="42">
        <f>+IF(AND(Y166&gt;=Assumptions!$G$26,Y166&lt;Assumptions!$G$28),Assumptions!$G$93/ROUNDUP((Assumptions!$G$27/12),0),0)</f>
        <v>0</v>
      </c>
      <c r="Z167" s="42">
        <f>+IF(AND(Z166&gt;=Assumptions!$G$26,Z166&lt;Assumptions!$G$28),Assumptions!$G$93/ROUNDUP((Assumptions!$G$27/12),0),0)</f>
        <v>0</v>
      </c>
    </row>
    <row r="168" spans="2:26" x14ac:dyDescent="0.35">
      <c r="B168" s="33" t="s">
        <v>311</v>
      </c>
      <c r="C168" s="33"/>
      <c r="D168" s="40"/>
      <c r="E168" s="40"/>
      <c r="F168" s="42">
        <f>+D168+F167</f>
        <v>0</v>
      </c>
      <c r="G168" s="42">
        <f t="shared" ref="G168:Z168" si="100">+F168+G167</f>
        <v>0</v>
      </c>
      <c r="H168" s="42">
        <f t="shared" si="100"/>
        <v>0</v>
      </c>
      <c r="I168" s="42">
        <f t="shared" si="100"/>
        <v>115.94133333333335</v>
      </c>
      <c r="J168" s="42">
        <f t="shared" si="100"/>
        <v>231.88266666666669</v>
      </c>
      <c r="K168" s="42">
        <f t="shared" si="100"/>
        <v>231.88266666666669</v>
      </c>
      <c r="L168" s="42">
        <f t="shared" si="100"/>
        <v>231.88266666666669</v>
      </c>
      <c r="M168" s="42">
        <f t="shared" si="100"/>
        <v>231.88266666666669</v>
      </c>
      <c r="N168" s="42">
        <f t="shared" si="100"/>
        <v>231.88266666666669</v>
      </c>
      <c r="O168" s="42">
        <f t="shared" si="100"/>
        <v>231.88266666666669</v>
      </c>
      <c r="P168" s="42">
        <f t="shared" si="100"/>
        <v>231.88266666666669</v>
      </c>
      <c r="Q168" s="42">
        <f t="shared" si="100"/>
        <v>231.88266666666669</v>
      </c>
      <c r="R168" s="42">
        <f t="shared" si="100"/>
        <v>231.88266666666669</v>
      </c>
      <c r="S168" s="42">
        <f t="shared" si="100"/>
        <v>231.88266666666669</v>
      </c>
      <c r="T168" s="42">
        <f t="shared" si="100"/>
        <v>231.88266666666669</v>
      </c>
      <c r="U168" s="42">
        <f t="shared" si="100"/>
        <v>231.88266666666669</v>
      </c>
      <c r="V168" s="42">
        <f t="shared" si="100"/>
        <v>231.88266666666669</v>
      </c>
      <c r="W168" s="42">
        <f t="shared" si="100"/>
        <v>231.88266666666669</v>
      </c>
      <c r="X168" s="42">
        <f t="shared" si="100"/>
        <v>231.88266666666669</v>
      </c>
      <c r="Y168" s="42">
        <f t="shared" si="100"/>
        <v>231.88266666666669</v>
      </c>
      <c r="Z168" s="42">
        <f t="shared" si="100"/>
        <v>231.88266666666669</v>
      </c>
    </row>
    <row r="169" spans="2:26" x14ac:dyDescent="0.35">
      <c r="B169" s="33" t="s">
        <v>305</v>
      </c>
      <c r="C169" s="33"/>
      <c r="D169" s="42"/>
      <c r="E169" s="42"/>
      <c r="F169" s="108">
        <f t="shared" ref="F169:J169" si="101">+F168/SUM($F167:$Z167)</f>
        <v>0</v>
      </c>
      <c r="G169" s="108">
        <f t="shared" si="101"/>
        <v>0</v>
      </c>
      <c r="H169" s="108">
        <f t="shared" si="101"/>
        <v>0</v>
      </c>
      <c r="I169" s="108">
        <f t="shared" si="101"/>
        <v>0.5</v>
      </c>
      <c r="J169" s="108">
        <f t="shared" si="101"/>
        <v>1</v>
      </c>
      <c r="K169" s="108">
        <f>+K168/SUM($F167:$Z167)</f>
        <v>1</v>
      </c>
      <c r="L169" s="108">
        <f t="shared" ref="L169:Z169" si="102">+L168/SUM($F167:$Z167)</f>
        <v>1</v>
      </c>
      <c r="M169" s="108">
        <f t="shared" si="102"/>
        <v>1</v>
      </c>
      <c r="N169" s="108">
        <f t="shared" si="102"/>
        <v>1</v>
      </c>
      <c r="O169" s="108">
        <f t="shared" si="102"/>
        <v>1</v>
      </c>
      <c r="P169" s="108">
        <f t="shared" si="102"/>
        <v>1</v>
      </c>
      <c r="Q169" s="108">
        <f t="shared" si="102"/>
        <v>1</v>
      </c>
      <c r="R169" s="108">
        <f t="shared" si="102"/>
        <v>1</v>
      </c>
      <c r="S169" s="108">
        <f t="shared" si="102"/>
        <v>1</v>
      </c>
      <c r="T169" s="108">
        <f t="shared" si="102"/>
        <v>1</v>
      </c>
      <c r="U169" s="108">
        <f t="shared" si="102"/>
        <v>1</v>
      </c>
      <c r="V169" s="108">
        <f t="shared" si="102"/>
        <v>1</v>
      </c>
      <c r="W169" s="108">
        <f t="shared" si="102"/>
        <v>1</v>
      </c>
      <c r="X169" s="108">
        <f t="shared" si="102"/>
        <v>1</v>
      </c>
      <c r="Y169" s="108">
        <f t="shared" si="102"/>
        <v>1</v>
      </c>
      <c r="Z169" s="108">
        <f t="shared" si="102"/>
        <v>1</v>
      </c>
    </row>
    <row r="170" spans="2:26" x14ac:dyDescent="0.35">
      <c r="B170" s="33"/>
      <c r="C170" s="33"/>
      <c r="D170" s="42"/>
      <c r="E170" s="42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</row>
    <row r="171" spans="2:26" x14ac:dyDescent="0.35">
      <c r="B171" s="33" t="s">
        <v>308</v>
      </c>
      <c r="F171" s="34">
        <f>+IF(F2=1,Assumptions!$G$118,IF(F2=2,Assumptions!$G$120,IF(F2&gt;2,Assumptions!$G$97,0)))</f>
        <v>0</v>
      </c>
      <c r="G171" s="34">
        <f>+IF(G2=1,Assumptions!$G$118,IF(G2=2,Assumptions!$G$120,IF(G2&gt;2,Assumptions!$G$97,0)))</f>
        <v>0</v>
      </c>
      <c r="H171" s="34">
        <f>+IF(H2=1,Assumptions!$G$118,IF(H2=2,Assumptions!$G$120,IF(H2&gt;2,Assumptions!$G$97,0)))</f>
        <v>0</v>
      </c>
      <c r="I171" s="34">
        <f>+IF(I2=1,Assumptions!$G$118,IF(I2=2,Assumptions!$G$120,IF(I2&gt;2,Assumptions!$G$97,0)))</f>
        <v>125</v>
      </c>
      <c r="J171" s="34">
        <f>+IF(J2=1,Assumptions!$G$118,IF(J2=2,Assumptions!$G$120,IF(J2&gt;2,Assumptions!$G$97,0)))</f>
        <v>130</v>
      </c>
      <c r="K171" s="34">
        <f>+IF(K2=1,Assumptions!$G$118,IF(K2=2,Assumptions!$G$120,IF(K2&gt;2,Assumptions!$G$97,0)))</f>
        <v>135</v>
      </c>
      <c r="L171" s="34">
        <f>+IF(L2=1,Assumptions!$G$118,IF(L2=2,Assumptions!$G$120,IF(L2&gt;2,Assumptions!$G$97,0)))</f>
        <v>135</v>
      </c>
      <c r="M171" s="34">
        <f>+IF(M2=1,Assumptions!$G$118,IF(M2=2,Assumptions!$G$120,IF(M2&gt;2,Assumptions!$G$97,0)))</f>
        <v>135</v>
      </c>
      <c r="N171" s="34">
        <f>+IF(N2=1,Assumptions!$G$118,IF(N2=2,Assumptions!$G$120,IF(N2&gt;2,Assumptions!$G$97,0)))</f>
        <v>135</v>
      </c>
      <c r="O171" s="34">
        <f>+IF(O2=1,Assumptions!$G$118,IF(O2=2,Assumptions!$G$120,IF(O2&gt;2,Assumptions!$G$97,0)))</f>
        <v>135</v>
      </c>
      <c r="P171" s="34">
        <f>+IF(P2=1,Assumptions!$G$118,IF(P2=2,Assumptions!$G$120,IF(P2&gt;2,Assumptions!$G$97,0)))</f>
        <v>135</v>
      </c>
      <c r="Q171" s="34">
        <f>+IF(Q2=1,Assumptions!$G$118,IF(Q2=2,Assumptions!$G$120,IF(Q2&gt;2,Assumptions!$G$97,0)))</f>
        <v>135</v>
      </c>
      <c r="R171" s="34">
        <f>+IF(R2=1,Assumptions!$G$118,IF(R2=2,Assumptions!$G$120,IF(R2&gt;2,Assumptions!$G$97,0)))</f>
        <v>135</v>
      </c>
      <c r="S171" s="34">
        <f>+IF(S2=1,Assumptions!$G$118,IF(S2=2,Assumptions!$G$120,IF(S2&gt;2,Assumptions!$G$97,0)))</f>
        <v>135</v>
      </c>
      <c r="T171" s="34">
        <f>+IF(T2=1,Assumptions!$G$118,IF(T2=2,Assumptions!$G$120,IF(T2&gt;2,Assumptions!$G$97,0)))</f>
        <v>135</v>
      </c>
      <c r="U171" s="34">
        <f>+IF(U2=1,Assumptions!$G$118,IF(U2=2,Assumptions!$G$120,IF(U2&gt;2,Assumptions!$G$97,0)))</f>
        <v>135</v>
      </c>
      <c r="V171" s="34">
        <f>+IF(V2=1,Assumptions!$G$118,IF(V2=2,Assumptions!$G$120,IF(V2&gt;2,Assumptions!$G$97,0)))</f>
        <v>135</v>
      </c>
      <c r="W171" s="34">
        <f>+IF(W2=1,Assumptions!$G$118,IF(W2=2,Assumptions!$G$120,IF(W2&gt;2,Assumptions!$G$97,0)))</f>
        <v>135</v>
      </c>
      <c r="X171" s="34">
        <f>+IF(X2=1,Assumptions!$G$118,IF(X2=2,Assumptions!$G$120,IF(X2&gt;2,Assumptions!$G$97,0)))</f>
        <v>135</v>
      </c>
      <c r="Y171" s="34">
        <f>+IF(Y2=1,Assumptions!$G$118,IF(Y2=2,Assumptions!$G$120,IF(Y2&gt;2,Assumptions!$G$97,0)))</f>
        <v>135</v>
      </c>
      <c r="Z171" s="34">
        <f>+IF(Z2=1,Assumptions!$G$118,IF(Z2=2,Assumptions!$G$120,IF(Z2&gt;2,Assumptions!$G$97,0)))</f>
        <v>135</v>
      </c>
    </row>
    <row r="172" spans="2:26" x14ac:dyDescent="0.35">
      <c r="B172" s="33" t="s">
        <v>315</v>
      </c>
      <c r="C172" s="33"/>
      <c r="D172" s="42"/>
      <c r="E172" s="42"/>
      <c r="F172" s="108">
        <v>1</v>
      </c>
      <c r="G172" s="108">
        <f>+F172*(1+Assumptions!$O$67)</f>
        <v>1.02</v>
      </c>
      <c r="H172" s="108">
        <f>+G172*(1+Assumptions!$O$67)</f>
        <v>1.0404</v>
      </c>
      <c r="I172" s="108">
        <f>+H172*(1+Assumptions!$O$67)</f>
        <v>1.0612079999999999</v>
      </c>
      <c r="J172" s="108">
        <f>+I172*(1+Assumptions!$O$67)</f>
        <v>1.08243216</v>
      </c>
      <c r="K172" s="108">
        <f>+J172*(1+Assumptions!$O$67)</f>
        <v>1.1040808032</v>
      </c>
      <c r="L172" s="108">
        <f>+K172*(1+Assumptions!$O$67)</f>
        <v>1.1261624192640001</v>
      </c>
      <c r="M172" s="108">
        <f>+L172*(1+Assumptions!$O$67)</f>
        <v>1.14868566764928</v>
      </c>
      <c r="N172" s="108">
        <f>+M172*(1+Assumptions!$O$67)</f>
        <v>1.1716593810022657</v>
      </c>
      <c r="O172" s="108">
        <f>+N172*(1+Assumptions!$O$67)</f>
        <v>1.1950925686223111</v>
      </c>
      <c r="P172" s="108">
        <f>+O172*(1+Assumptions!$O$67)</f>
        <v>1.2189944199947573</v>
      </c>
      <c r="Q172" s="108">
        <f>+P172*(1+Assumptions!$O$67)</f>
        <v>1.2433743083946525</v>
      </c>
      <c r="R172" s="108">
        <f>+Q172*(1+Assumptions!$O$67)</f>
        <v>1.2682417945625455</v>
      </c>
      <c r="S172" s="108">
        <f>+R172*(1+Assumptions!$O$67)</f>
        <v>1.2936066304537963</v>
      </c>
      <c r="T172" s="108">
        <f>+S172*(1+Assumptions!$O$67)</f>
        <v>1.3194787630628724</v>
      </c>
      <c r="U172" s="108">
        <f>+T172*(1+Assumptions!$O$67)</f>
        <v>1.3458683383241299</v>
      </c>
      <c r="V172" s="108">
        <f>+U172*(1+Assumptions!$O$67)</f>
        <v>1.3727857050906125</v>
      </c>
      <c r="W172" s="108">
        <f>+V172*(1+Assumptions!$O$67)</f>
        <v>1.4002414191924248</v>
      </c>
      <c r="X172" s="108">
        <f>+W172*(1+Assumptions!$O$67)</f>
        <v>1.4282462475762734</v>
      </c>
      <c r="Y172" s="108">
        <f>+X172*(1+Assumptions!$O$67)</f>
        <v>1.4568111725277988</v>
      </c>
      <c r="Z172" s="108">
        <f>+Y172*(1+Assumptions!$O$67)</f>
        <v>1.4859473959783549</v>
      </c>
    </row>
    <row r="173" spans="2:26" x14ac:dyDescent="0.35">
      <c r="B173" s="33" t="s">
        <v>309</v>
      </c>
      <c r="C173" s="33"/>
      <c r="D173" s="42"/>
      <c r="E173" s="42"/>
      <c r="F173" s="34">
        <f>+F171*F172</f>
        <v>0</v>
      </c>
      <c r="G173" s="34">
        <f t="shared" ref="G173:Z173" si="103">+G171*G172</f>
        <v>0</v>
      </c>
      <c r="H173" s="34">
        <f t="shared" si="103"/>
        <v>0</v>
      </c>
      <c r="I173" s="34">
        <f t="shared" si="103"/>
        <v>132.65099999999998</v>
      </c>
      <c r="J173" s="34">
        <f t="shared" si="103"/>
        <v>140.71618079999999</v>
      </c>
      <c r="K173" s="34">
        <f t="shared" si="103"/>
        <v>149.050908432</v>
      </c>
      <c r="L173" s="34">
        <f t="shared" si="103"/>
        <v>152.03192660064002</v>
      </c>
      <c r="M173" s="34">
        <f t="shared" si="103"/>
        <v>155.07256513265281</v>
      </c>
      <c r="N173" s="34">
        <f t="shared" si="103"/>
        <v>158.17401643530587</v>
      </c>
      <c r="O173" s="34">
        <f t="shared" si="103"/>
        <v>161.337496764012</v>
      </c>
      <c r="P173" s="34">
        <f t="shared" si="103"/>
        <v>164.56424669929223</v>
      </c>
      <c r="Q173" s="34">
        <f t="shared" si="103"/>
        <v>167.85553163327808</v>
      </c>
      <c r="R173" s="34">
        <f t="shared" si="103"/>
        <v>171.21264226594363</v>
      </c>
      <c r="S173" s="34">
        <f t="shared" si="103"/>
        <v>174.6368951112625</v>
      </c>
      <c r="T173" s="34">
        <f t="shared" si="103"/>
        <v>178.12963301348776</v>
      </c>
      <c r="U173" s="34">
        <f t="shared" si="103"/>
        <v>181.69222567375755</v>
      </c>
      <c r="V173" s="34">
        <f t="shared" si="103"/>
        <v>185.32607018723269</v>
      </c>
      <c r="W173" s="34">
        <f t="shared" si="103"/>
        <v>189.03259159097735</v>
      </c>
      <c r="X173" s="34">
        <f t="shared" si="103"/>
        <v>192.81324342279692</v>
      </c>
      <c r="Y173" s="34">
        <f t="shared" si="103"/>
        <v>196.66950829125284</v>
      </c>
      <c r="Z173" s="34">
        <f t="shared" si="103"/>
        <v>200.60289845707791</v>
      </c>
    </row>
    <row r="174" spans="2:26" x14ac:dyDescent="0.35">
      <c r="B174" s="33"/>
    </row>
    <row r="175" spans="2:26" x14ac:dyDescent="0.35">
      <c r="B175" s="33" t="s">
        <v>156</v>
      </c>
      <c r="F175" s="108">
        <f>+IF(F2=1,Assumptions!$G$117,IF(F2=2,Assumptions!$G$119,IF(F2&gt;2,Assumptions!$G$96,0)))</f>
        <v>0</v>
      </c>
      <c r="G175" s="108">
        <f>+IF(G2=1,Assumptions!$G$117,IF(G2=2,Assumptions!$G$119,IF(G2&gt;2,Assumptions!$G$96,0)))</f>
        <v>0</v>
      </c>
      <c r="H175" s="108">
        <f>+IF(H2=1,Assumptions!$G$117,IF(H2=2,Assumptions!$G$119,IF(H2&gt;2,Assumptions!$G$96,0)))</f>
        <v>0</v>
      </c>
      <c r="I175" s="108">
        <f>+IF(I2=1,Assumptions!$G$117,IF(I2=2,Assumptions!$G$119,IF(I2&gt;2,Assumptions!$G$96,0)))</f>
        <v>0.65</v>
      </c>
      <c r="J175" s="108">
        <f>+IF(J2=1,Assumptions!$G$117,IF(J2=2,Assumptions!$G$119,IF(J2&gt;2,Assumptions!$G$96,0)))</f>
        <v>0.7</v>
      </c>
      <c r="K175" s="108">
        <f>+IF(K2=1,Assumptions!$G$117,IF(K2=2,Assumptions!$G$119,IF(K2&gt;2,Assumptions!$G$96,0)))</f>
        <v>0.7</v>
      </c>
      <c r="L175" s="108">
        <f>+IF(L2=1,Assumptions!$G$117,IF(L2=2,Assumptions!$G$119,IF(L2&gt;2,Assumptions!$G$96,0)))</f>
        <v>0.7</v>
      </c>
      <c r="M175" s="108">
        <f>+IF(M2=1,Assumptions!$G$117,IF(M2=2,Assumptions!$G$119,IF(M2&gt;2,Assumptions!$G$96,0)))</f>
        <v>0.7</v>
      </c>
      <c r="N175" s="108">
        <f>+IF(N2=1,Assumptions!$G$117,IF(N2=2,Assumptions!$G$119,IF(N2&gt;2,Assumptions!$G$96,0)))</f>
        <v>0.7</v>
      </c>
      <c r="O175" s="108">
        <f>+IF(O2=1,Assumptions!$G$117,IF(O2=2,Assumptions!$G$119,IF(O2&gt;2,Assumptions!$G$96,0)))</f>
        <v>0.7</v>
      </c>
      <c r="P175" s="108">
        <f>+IF(P2=1,Assumptions!$G$117,IF(P2=2,Assumptions!$G$119,IF(P2&gt;2,Assumptions!$G$96,0)))</f>
        <v>0.7</v>
      </c>
      <c r="Q175" s="108">
        <f>+IF(Q2=1,Assumptions!$G$117,IF(Q2=2,Assumptions!$G$119,IF(Q2&gt;2,Assumptions!$G$96,0)))</f>
        <v>0.7</v>
      </c>
      <c r="R175" s="108">
        <f>+IF(R2=1,Assumptions!$G$117,IF(R2=2,Assumptions!$G$119,IF(R2&gt;2,Assumptions!$G$96,0)))</f>
        <v>0.7</v>
      </c>
      <c r="S175" s="108">
        <f>+IF(S2=1,Assumptions!$G$117,IF(S2=2,Assumptions!$G$119,IF(S2&gt;2,Assumptions!$G$96,0)))</f>
        <v>0.7</v>
      </c>
      <c r="T175" s="108">
        <f>+IF(T2=1,Assumptions!$G$117,IF(T2=2,Assumptions!$G$119,IF(T2&gt;2,Assumptions!$G$96,0)))</f>
        <v>0.7</v>
      </c>
      <c r="U175" s="108">
        <f>+IF(U2=1,Assumptions!$G$117,IF(U2=2,Assumptions!$G$119,IF(U2&gt;2,Assumptions!$G$96,0)))</f>
        <v>0.7</v>
      </c>
      <c r="V175" s="108">
        <f>+IF(V2=1,Assumptions!$G$117,IF(V2=2,Assumptions!$G$119,IF(V2&gt;2,Assumptions!$G$96,0)))</f>
        <v>0.7</v>
      </c>
      <c r="W175" s="108">
        <f>+IF(W2=1,Assumptions!$G$117,IF(W2=2,Assumptions!$G$119,IF(W2&gt;2,Assumptions!$G$96,0)))</f>
        <v>0.7</v>
      </c>
      <c r="X175" s="108">
        <f>+IF(X2=1,Assumptions!$G$117,IF(X2=2,Assumptions!$G$119,IF(X2&gt;2,Assumptions!$G$96,0)))</f>
        <v>0.7</v>
      </c>
      <c r="Y175" s="108">
        <f>+IF(Y2=1,Assumptions!$G$117,IF(Y2=2,Assumptions!$G$119,IF(Y2&gt;2,Assumptions!$G$96,0)))</f>
        <v>0.7</v>
      </c>
      <c r="Z175" s="108">
        <f>+IF(Z2=1,Assumptions!$G$117,IF(Z2=2,Assumptions!$G$119,IF(Z2&gt;2,Assumptions!$G$96,0)))</f>
        <v>0.7</v>
      </c>
    </row>
    <row r="176" spans="2:26" x14ac:dyDescent="0.35">
      <c r="B176" s="33" t="s">
        <v>155</v>
      </c>
      <c r="F176" s="34">
        <f>+F173*F175</f>
        <v>0</v>
      </c>
      <c r="G176" s="34">
        <f t="shared" ref="G176:Z176" si="104">+G173*G175</f>
        <v>0</v>
      </c>
      <c r="H176" s="34">
        <f t="shared" si="104"/>
        <v>0</v>
      </c>
      <c r="I176" s="34">
        <f t="shared" si="104"/>
        <v>86.22314999999999</v>
      </c>
      <c r="J176" s="34">
        <f t="shared" si="104"/>
        <v>98.501326559999981</v>
      </c>
      <c r="K176" s="34">
        <f t="shared" si="104"/>
        <v>104.3356359024</v>
      </c>
      <c r="L176" s="34">
        <f t="shared" si="104"/>
        <v>106.42234862044801</v>
      </c>
      <c r="M176" s="34">
        <f t="shared" si="104"/>
        <v>108.55079559285696</v>
      </c>
      <c r="N176" s="34">
        <f t="shared" si="104"/>
        <v>110.72181150471411</v>
      </c>
      <c r="O176" s="34">
        <f t="shared" si="104"/>
        <v>112.93624773480839</v>
      </c>
      <c r="P176" s="34">
        <f t="shared" si="104"/>
        <v>115.19497268950455</v>
      </c>
      <c r="Q176" s="34">
        <f t="shared" si="104"/>
        <v>117.49887214329465</v>
      </c>
      <c r="R176" s="34">
        <f t="shared" si="104"/>
        <v>119.84884958616053</v>
      </c>
      <c r="S176" s="34">
        <f t="shared" si="104"/>
        <v>122.24582657788375</v>
      </c>
      <c r="T176" s="34">
        <f t="shared" si="104"/>
        <v>124.69074310944143</v>
      </c>
      <c r="U176" s="34">
        <f t="shared" si="104"/>
        <v>127.18455797163027</v>
      </c>
      <c r="V176" s="34">
        <f t="shared" si="104"/>
        <v>129.72824913106288</v>
      </c>
      <c r="W176" s="34">
        <f t="shared" si="104"/>
        <v>132.32281411368413</v>
      </c>
      <c r="X176" s="34">
        <f t="shared" si="104"/>
        <v>134.96927039595784</v>
      </c>
      <c r="Y176" s="34">
        <f t="shared" si="104"/>
        <v>137.66865580387699</v>
      </c>
      <c r="Z176" s="34">
        <f t="shared" si="104"/>
        <v>140.42202891995453</v>
      </c>
    </row>
    <row r="177" spans="2:26" x14ac:dyDescent="0.35">
      <c r="B177" s="137" t="s">
        <v>307</v>
      </c>
      <c r="C177" s="137"/>
      <c r="D177" s="137"/>
      <c r="E177" s="137"/>
      <c r="F177" s="129">
        <f>+F176*365.25*F168</f>
        <v>0</v>
      </c>
      <c r="G177" s="129">
        <f t="shared" ref="G177:Z177" si="105">+G176*365.25*G168</f>
        <v>0</v>
      </c>
      <c r="H177" s="129">
        <f t="shared" si="105"/>
        <v>0</v>
      </c>
      <c r="I177" s="129">
        <f t="shared" si="105"/>
        <v>3651341.0526918001</v>
      </c>
      <c r="J177" s="129">
        <f t="shared" si="105"/>
        <v>8342584.037190225</v>
      </c>
      <c r="K177" s="129">
        <f t="shared" si="105"/>
        <v>8836721.7070853394</v>
      </c>
      <c r="L177" s="129">
        <f t="shared" si="105"/>
        <v>9013456.141227046</v>
      </c>
      <c r="M177" s="129">
        <f t="shared" si="105"/>
        <v>9193725.2640515864</v>
      </c>
      <c r="N177" s="129">
        <f t="shared" si="105"/>
        <v>9377599.7693326194</v>
      </c>
      <c r="O177" s="129">
        <f t="shared" si="105"/>
        <v>9565151.764719272</v>
      </c>
      <c r="P177" s="129">
        <f t="shared" si="105"/>
        <v>9756454.8000136577</v>
      </c>
      <c r="Q177" s="129">
        <f t="shared" si="105"/>
        <v>9951583.8960139286</v>
      </c>
      <c r="R177" s="129">
        <f t="shared" si="105"/>
        <v>10150615.573934207</v>
      </c>
      <c r="S177" s="129">
        <f t="shared" si="105"/>
        <v>10353627.885412892</v>
      </c>
      <c r="T177" s="129">
        <f t="shared" si="105"/>
        <v>10560700.44312115</v>
      </c>
      <c r="U177" s="129">
        <f t="shared" si="105"/>
        <v>10771914.451983575</v>
      </c>
      <c r="V177" s="129">
        <f t="shared" si="105"/>
        <v>10987352.741023246</v>
      </c>
      <c r="W177" s="129">
        <f t="shared" si="105"/>
        <v>11207099.795843711</v>
      </c>
      <c r="X177" s="129">
        <f t="shared" si="105"/>
        <v>11431241.791760586</v>
      </c>
      <c r="Y177" s="129">
        <f t="shared" si="105"/>
        <v>11659866.627595799</v>
      </c>
      <c r="Z177" s="129">
        <f t="shared" si="105"/>
        <v>11893063.960147714</v>
      </c>
    </row>
    <row r="179" spans="2:26" x14ac:dyDescent="0.35">
      <c r="B179" s="33" t="s">
        <v>313</v>
      </c>
      <c r="F179" s="34">
        <f>+Assumptions!$G$108*'Phase II Pro Forma'!F172*'Phase II Pro Forma'!F169</f>
        <v>0</v>
      </c>
      <c r="G179" s="34">
        <f>+Assumptions!$G$108*'Phase II Pro Forma'!G172*'Phase II Pro Forma'!G169</f>
        <v>0</v>
      </c>
      <c r="H179" s="34">
        <f>+Assumptions!$G$108*'Phase II Pro Forma'!H172*'Phase II Pro Forma'!H169</f>
        <v>0</v>
      </c>
      <c r="I179" s="34">
        <f>+Assumptions!$G$108*'Phase II Pro Forma'!I172*'Phase II Pro Forma'!I169</f>
        <v>1258092.9849620161</v>
      </c>
      <c r="J179" s="34">
        <f>+Assumptions!$G$108*'Phase II Pro Forma'!J172*'Phase II Pro Forma'!J169</f>
        <v>2566509.6893225131</v>
      </c>
      <c r="K179" s="34">
        <f>+Assumptions!$G$108*'Phase II Pro Forma'!K172*'Phase II Pro Forma'!K169</f>
        <v>2617839.8831089633</v>
      </c>
      <c r="L179" s="34">
        <f>+Assumptions!$G$108*'Phase II Pro Forma'!L172*'Phase II Pro Forma'!L169</f>
        <v>2670196.6807711427</v>
      </c>
      <c r="M179" s="34">
        <f>+Assumptions!$G$108*'Phase II Pro Forma'!M172*'Phase II Pro Forma'!M169</f>
        <v>2723600.6143865655</v>
      </c>
      <c r="N179" s="34">
        <f>+Assumptions!$G$108*'Phase II Pro Forma'!N172*'Phase II Pro Forma'!N169</f>
        <v>2778072.6266742968</v>
      </c>
      <c r="O179" s="34">
        <f>+Assumptions!$G$108*'Phase II Pro Forma'!O172*'Phase II Pro Forma'!O169</f>
        <v>2833634.0792077826</v>
      </c>
      <c r="P179" s="34">
        <f>+Assumptions!$G$108*'Phase II Pro Forma'!P172*'Phase II Pro Forma'!P169</f>
        <v>2890306.7607919388</v>
      </c>
      <c r="Q179" s="34">
        <f>+Assumptions!$G$108*'Phase II Pro Forma'!Q172*'Phase II Pro Forma'!Q169</f>
        <v>2948112.8960077772</v>
      </c>
      <c r="R179" s="34">
        <f>+Assumptions!$G$108*'Phase II Pro Forma'!R172*'Phase II Pro Forma'!R169</f>
        <v>3007075.153927933</v>
      </c>
      <c r="S179" s="34">
        <f>+Assumptions!$G$108*'Phase II Pro Forma'!S172*'Phase II Pro Forma'!S169</f>
        <v>3067216.6570064914</v>
      </c>
      <c r="T179" s="34">
        <f>+Assumptions!$G$108*'Phase II Pro Forma'!T172*'Phase II Pro Forma'!T169</f>
        <v>3128560.9901466216</v>
      </c>
      <c r="U179" s="34">
        <f>+Assumptions!$G$108*'Phase II Pro Forma'!U172*'Phase II Pro Forma'!U169</f>
        <v>3191132.2099495539</v>
      </c>
      <c r="V179" s="34">
        <f>+Assumptions!$G$108*'Phase II Pro Forma'!V172*'Phase II Pro Forma'!V169</f>
        <v>3254954.8541485453</v>
      </c>
      <c r="W179" s="34">
        <f>+Assumptions!$G$108*'Phase II Pro Forma'!W172*'Phase II Pro Forma'!W169</f>
        <v>3320053.9512315164</v>
      </c>
      <c r="X179" s="34">
        <f>+Assumptions!$G$108*'Phase II Pro Forma'!X172*'Phase II Pro Forma'!X169</f>
        <v>3386455.0302561466</v>
      </c>
      <c r="Y179" s="34">
        <f>+Assumptions!$G$108*'Phase II Pro Forma'!Y172*'Phase II Pro Forma'!Y169</f>
        <v>3454184.1308612693</v>
      </c>
      <c r="Z179" s="34">
        <f>+Assumptions!$G$108*'Phase II Pro Forma'!Z172*'Phase II Pro Forma'!Z169</f>
        <v>3523267.8134784955</v>
      </c>
    </row>
    <row r="180" spans="2:26" x14ac:dyDescent="0.35">
      <c r="B180" s="137" t="s">
        <v>316</v>
      </c>
      <c r="C180" s="137"/>
      <c r="D180" s="137"/>
      <c r="E180" s="137"/>
      <c r="F180" s="129">
        <f>+F177+F179</f>
        <v>0</v>
      </c>
      <c r="G180" s="129">
        <f t="shared" ref="G180:Z180" si="106">+G177+G179</f>
        <v>0</v>
      </c>
      <c r="H180" s="129">
        <f t="shared" si="106"/>
        <v>0</v>
      </c>
      <c r="I180" s="129">
        <f t="shared" si="106"/>
        <v>4909434.0376538159</v>
      </c>
      <c r="J180" s="129">
        <f t="shared" si="106"/>
        <v>10909093.726512738</v>
      </c>
      <c r="K180" s="129">
        <f t="shared" si="106"/>
        <v>11454561.590194304</v>
      </c>
      <c r="L180" s="129">
        <f t="shared" si="106"/>
        <v>11683652.821998188</v>
      </c>
      <c r="M180" s="129">
        <f t="shared" si="106"/>
        <v>11917325.878438152</v>
      </c>
      <c r="N180" s="129">
        <f t="shared" si="106"/>
        <v>12155672.396006916</v>
      </c>
      <c r="O180" s="129">
        <f t="shared" si="106"/>
        <v>12398785.843927056</v>
      </c>
      <c r="P180" s="129">
        <f t="shared" si="106"/>
        <v>12646761.560805596</v>
      </c>
      <c r="Q180" s="129">
        <f t="shared" si="106"/>
        <v>12899696.792021707</v>
      </c>
      <c r="R180" s="129">
        <f t="shared" si="106"/>
        <v>13157690.72786214</v>
      </c>
      <c r="S180" s="129">
        <f t="shared" si="106"/>
        <v>13420844.542419383</v>
      </c>
      <c r="T180" s="129">
        <f t="shared" si="106"/>
        <v>13689261.433267772</v>
      </c>
      <c r="U180" s="129">
        <f t="shared" si="106"/>
        <v>13963046.661933128</v>
      </c>
      <c r="V180" s="129">
        <f t="shared" si="106"/>
        <v>14242307.595171791</v>
      </c>
      <c r="W180" s="129">
        <f t="shared" si="106"/>
        <v>14527153.747075228</v>
      </c>
      <c r="X180" s="129">
        <f t="shared" si="106"/>
        <v>14817696.822016733</v>
      </c>
      <c r="Y180" s="129">
        <f t="shared" si="106"/>
        <v>15114050.758457068</v>
      </c>
      <c r="Z180" s="129">
        <f t="shared" si="106"/>
        <v>15416331.77362621</v>
      </c>
    </row>
    <row r="181" spans="2:26" x14ac:dyDescent="0.35">
      <c r="B181" s="33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2:26" x14ac:dyDescent="0.35">
      <c r="B182" s="33" t="s">
        <v>314</v>
      </c>
      <c r="F182" s="42">
        <f>+Assumptions!$G$115*'Phase II Pro Forma'!F172*'Phase II Pro Forma'!F169</f>
        <v>0</v>
      </c>
      <c r="G182" s="42">
        <f>+Assumptions!$G$115*'Phase II Pro Forma'!G172*'Phase II Pro Forma'!G169</f>
        <v>0</v>
      </c>
      <c r="H182" s="42">
        <f>+Assumptions!$G$115*'Phase II Pro Forma'!H172*'Phase II Pro Forma'!H169</f>
        <v>0</v>
      </c>
      <c r="I182" s="42">
        <f>+Assumptions!$G$115*'Phase II Pro Forma'!I172*'Phase II Pro Forma'!I169</f>
        <v>835701.29999999993</v>
      </c>
      <c r="J182" s="42">
        <f>+Assumptions!$G$115*'Phase II Pro Forma'!J172*'Phase II Pro Forma'!J169</f>
        <v>1704830.652</v>
      </c>
      <c r="K182" s="42">
        <f>+Assumptions!$G$115*'Phase II Pro Forma'!K172*'Phase II Pro Forma'!K169</f>
        <v>1738927.26504</v>
      </c>
      <c r="L182" s="42">
        <f>+Assumptions!$G$115*'Phase II Pro Forma'!L172*'Phase II Pro Forma'!L169</f>
        <v>1773705.8103408001</v>
      </c>
      <c r="M182" s="42">
        <f>+Assumptions!$G$115*'Phase II Pro Forma'!M172*'Phase II Pro Forma'!M169</f>
        <v>1809179.926547616</v>
      </c>
      <c r="N182" s="42">
        <f>+Assumptions!$G$115*'Phase II Pro Forma'!N172*'Phase II Pro Forma'!N169</f>
        <v>1845363.5250785686</v>
      </c>
      <c r="O182" s="42">
        <f>+Assumptions!$G$115*'Phase II Pro Forma'!O172*'Phase II Pro Forma'!O169</f>
        <v>1882270.7955801398</v>
      </c>
      <c r="P182" s="42">
        <f>+Assumptions!$G$115*'Phase II Pro Forma'!P172*'Phase II Pro Forma'!P169</f>
        <v>1919916.2114917429</v>
      </c>
      <c r="Q182" s="42">
        <f>+Assumptions!$G$115*'Phase II Pro Forma'!Q172*'Phase II Pro Forma'!Q169</f>
        <v>1958314.5357215777</v>
      </c>
      <c r="R182" s="42">
        <f>+Assumptions!$G$115*'Phase II Pro Forma'!R172*'Phase II Pro Forma'!R169</f>
        <v>1997480.8264360093</v>
      </c>
      <c r="S182" s="42">
        <f>+Assumptions!$G$115*'Phase II Pro Forma'!S172*'Phase II Pro Forma'!S169</f>
        <v>2037430.4429647292</v>
      </c>
      <c r="T182" s="42">
        <f>+Assumptions!$G$115*'Phase II Pro Forma'!T172*'Phase II Pro Forma'!T169</f>
        <v>2078179.0518240239</v>
      </c>
      <c r="U182" s="42">
        <f>+Assumptions!$G$115*'Phase II Pro Forma'!U172*'Phase II Pro Forma'!U169</f>
        <v>2119742.6328605046</v>
      </c>
      <c r="V182" s="42">
        <f>+Assumptions!$G$115*'Phase II Pro Forma'!V172*'Phase II Pro Forma'!V169</f>
        <v>2162137.4855177146</v>
      </c>
      <c r="W182" s="42">
        <f>+Assumptions!$G$115*'Phase II Pro Forma'!W172*'Phase II Pro Forma'!W169</f>
        <v>2205380.2352280691</v>
      </c>
      <c r="X182" s="42">
        <f>+Assumptions!$G$115*'Phase II Pro Forma'!X172*'Phase II Pro Forma'!X169</f>
        <v>2249487.8399326308</v>
      </c>
      <c r="Y182" s="42">
        <f>+Assumptions!$G$115*'Phase II Pro Forma'!Y172*'Phase II Pro Forma'!Y169</f>
        <v>2294477.5967312832</v>
      </c>
      <c r="Z182" s="42">
        <f>+Assumptions!$G$115*'Phase II Pro Forma'!Z172*'Phase II Pro Forma'!Z169</f>
        <v>2340367.1486659092</v>
      </c>
    </row>
    <row r="183" spans="2:26" s="157" customFormat="1" x14ac:dyDescent="0.35">
      <c r="B183" s="137" t="s">
        <v>782</v>
      </c>
      <c r="C183" s="137"/>
      <c r="D183" s="137"/>
      <c r="E183" s="137"/>
      <c r="F183" s="129">
        <f>+F180+F182</f>
        <v>0</v>
      </c>
      <c r="G183" s="129">
        <f t="shared" ref="G183:Z183" si="107">+G180+G182</f>
        <v>0</v>
      </c>
      <c r="H183" s="129">
        <f t="shared" si="107"/>
        <v>0</v>
      </c>
      <c r="I183" s="129">
        <f t="shared" si="107"/>
        <v>5745135.3376538157</v>
      </c>
      <c r="J183" s="129">
        <f t="shared" si="107"/>
        <v>12613924.378512738</v>
      </c>
      <c r="K183" s="129">
        <f t="shared" si="107"/>
        <v>13193488.855234303</v>
      </c>
      <c r="L183" s="129">
        <f t="shared" si="107"/>
        <v>13457358.632338988</v>
      </c>
      <c r="M183" s="129">
        <f t="shared" si="107"/>
        <v>13726505.804985769</v>
      </c>
      <c r="N183" s="129">
        <f t="shared" si="107"/>
        <v>14001035.921085484</v>
      </c>
      <c r="O183" s="129">
        <f t="shared" si="107"/>
        <v>14281056.639507195</v>
      </c>
      <c r="P183" s="129">
        <f t="shared" si="107"/>
        <v>14566677.77229734</v>
      </c>
      <c r="Q183" s="129">
        <f t="shared" si="107"/>
        <v>14858011.327743284</v>
      </c>
      <c r="R183" s="129">
        <f t="shared" si="107"/>
        <v>15155171.554298149</v>
      </c>
      <c r="S183" s="129">
        <f t="shared" si="107"/>
        <v>15458274.985384112</v>
      </c>
      <c r="T183" s="129">
        <f t="shared" si="107"/>
        <v>15767440.485091796</v>
      </c>
      <c r="U183" s="129">
        <f t="shared" si="107"/>
        <v>16082789.294793632</v>
      </c>
      <c r="V183" s="129">
        <f t="shared" si="107"/>
        <v>16404445.080689505</v>
      </c>
      <c r="W183" s="129">
        <f t="shared" si="107"/>
        <v>16732533.982303297</v>
      </c>
      <c r="X183" s="129">
        <f t="shared" si="107"/>
        <v>17067184.661949363</v>
      </c>
      <c r="Y183" s="129">
        <f t="shared" si="107"/>
        <v>17408528.355188351</v>
      </c>
      <c r="Z183" s="129">
        <f t="shared" si="107"/>
        <v>17756698.922292121</v>
      </c>
    </row>
    <row r="185" spans="2:26" x14ac:dyDescent="0.35">
      <c r="B185" s="155" t="s">
        <v>146</v>
      </c>
    </row>
    <row r="186" spans="2:26" x14ac:dyDescent="0.35">
      <c r="B186" s="64" t="s">
        <v>285</v>
      </c>
      <c r="D186" s="115">
        <f>+Assumptions!M101</f>
        <v>0.25</v>
      </c>
      <c r="E186" s="115"/>
      <c r="F186" s="34">
        <f>F$177*$D186</f>
        <v>0</v>
      </c>
      <c r="G186" s="34">
        <f t="shared" ref="G186:Z186" si="108">G$177*$D186</f>
        <v>0</v>
      </c>
      <c r="H186" s="34">
        <f t="shared" si="108"/>
        <v>0</v>
      </c>
      <c r="I186" s="34">
        <f t="shared" si="108"/>
        <v>912835.26317295001</v>
      </c>
      <c r="J186" s="34">
        <f t="shared" si="108"/>
        <v>2085646.0092975562</v>
      </c>
      <c r="K186" s="34">
        <f t="shared" si="108"/>
        <v>2209180.4267713348</v>
      </c>
      <c r="L186" s="34">
        <f t="shared" si="108"/>
        <v>2253364.0353067615</v>
      </c>
      <c r="M186" s="34">
        <f t="shared" si="108"/>
        <v>2298431.3160128966</v>
      </c>
      <c r="N186" s="34">
        <f t="shared" si="108"/>
        <v>2344399.9423331548</v>
      </c>
      <c r="O186" s="34">
        <f t="shared" si="108"/>
        <v>2391287.941179818</v>
      </c>
      <c r="P186" s="34">
        <f t="shared" si="108"/>
        <v>2439113.7000034144</v>
      </c>
      <c r="Q186" s="34">
        <f t="shared" si="108"/>
        <v>2487895.9740034821</v>
      </c>
      <c r="R186" s="34">
        <f t="shared" si="108"/>
        <v>2537653.8934835517</v>
      </c>
      <c r="S186" s="34">
        <f t="shared" si="108"/>
        <v>2588406.9713532231</v>
      </c>
      <c r="T186" s="34">
        <f t="shared" si="108"/>
        <v>2640175.1107802875</v>
      </c>
      <c r="U186" s="34">
        <f t="shared" si="108"/>
        <v>2692978.6129958937</v>
      </c>
      <c r="V186" s="34">
        <f t="shared" si="108"/>
        <v>2746838.1852558115</v>
      </c>
      <c r="W186" s="34">
        <f t="shared" si="108"/>
        <v>2801774.9489609278</v>
      </c>
      <c r="X186" s="34">
        <f t="shared" si="108"/>
        <v>2857810.4479401466</v>
      </c>
      <c r="Y186" s="34">
        <f t="shared" si="108"/>
        <v>2914966.6568989498</v>
      </c>
      <c r="Z186" s="34">
        <f t="shared" si="108"/>
        <v>2973265.9900369286</v>
      </c>
    </row>
    <row r="187" spans="2:26" x14ac:dyDescent="0.35">
      <c r="B187" s="64" t="s">
        <v>312</v>
      </c>
      <c r="D187" s="115">
        <f>+Assumptions!M102</f>
        <v>0.7</v>
      </c>
      <c r="E187" s="115"/>
      <c r="F187" s="42">
        <f>F$179*$D187</f>
        <v>0</v>
      </c>
      <c r="G187" s="42">
        <f t="shared" ref="G187:Z187" si="109">G$179*$D187</f>
        <v>0</v>
      </c>
      <c r="H187" s="42">
        <f t="shared" si="109"/>
        <v>0</v>
      </c>
      <c r="I187" s="42">
        <f t="shared" si="109"/>
        <v>880665.08947341121</v>
      </c>
      <c r="J187" s="42">
        <f t="shared" si="109"/>
        <v>1796556.782525759</v>
      </c>
      <c r="K187" s="42">
        <f t="shared" si="109"/>
        <v>1832487.9181762743</v>
      </c>
      <c r="L187" s="42">
        <f t="shared" si="109"/>
        <v>1869137.6765397997</v>
      </c>
      <c r="M187" s="42">
        <f t="shared" si="109"/>
        <v>1906520.4300705958</v>
      </c>
      <c r="N187" s="42">
        <f t="shared" si="109"/>
        <v>1944650.8386720077</v>
      </c>
      <c r="O187" s="42">
        <f t="shared" si="109"/>
        <v>1983543.8554454476</v>
      </c>
      <c r="P187" s="42">
        <f t="shared" si="109"/>
        <v>2023214.732554357</v>
      </c>
      <c r="Q187" s="42">
        <f t="shared" si="109"/>
        <v>2063679.0272054439</v>
      </c>
      <c r="R187" s="42">
        <f t="shared" si="109"/>
        <v>2104952.6077495529</v>
      </c>
      <c r="S187" s="42">
        <f t="shared" si="109"/>
        <v>2147051.6599045438</v>
      </c>
      <c r="T187" s="42">
        <f t="shared" si="109"/>
        <v>2189992.693102635</v>
      </c>
      <c r="U187" s="42">
        <f t="shared" si="109"/>
        <v>2233792.5469646878</v>
      </c>
      <c r="V187" s="42">
        <f t="shared" si="109"/>
        <v>2278468.3979039816</v>
      </c>
      <c r="W187" s="42">
        <f t="shared" si="109"/>
        <v>2324037.7658620612</v>
      </c>
      <c r="X187" s="42">
        <f t="shared" si="109"/>
        <v>2370518.5211793026</v>
      </c>
      <c r="Y187" s="42">
        <f t="shared" si="109"/>
        <v>2417928.8916028882</v>
      </c>
      <c r="Z187" s="42">
        <f t="shared" si="109"/>
        <v>2466287.4694349468</v>
      </c>
    </row>
    <row r="188" spans="2:26" x14ac:dyDescent="0.35">
      <c r="B188" s="155" t="s">
        <v>286</v>
      </c>
    </row>
    <row r="189" spans="2:26" x14ac:dyDescent="0.35">
      <c r="B189" s="64" t="s">
        <v>287</v>
      </c>
      <c r="D189" s="115">
        <f>+Assumptions!M104</f>
        <v>0.08</v>
      </c>
      <c r="E189" s="115"/>
      <c r="F189" s="42">
        <f>F$180*$D189</f>
        <v>0</v>
      </c>
      <c r="G189" s="42">
        <f t="shared" ref="G189:V197" si="110">G$180*$D189</f>
        <v>0</v>
      </c>
      <c r="H189" s="42">
        <f t="shared" si="110"/>
        <v>0</v>
      </c>
      <c r="I189" s="42">
        <f t="shared" si="110"/>
        <v>392754.72301230527</v>
      </c>
      <c r="J189" s="42">
        <f t="shared" si="110"/>
        <v>872727.49812101899</v>
      </c>
      <c r="K189" s="42">
        <f t="shared" si="110"/>
        <v>916364.92721554427</v>
      </c>
      <c r="L189" s="42">
        <f t="shared" si="110"/>
        <v>934692.22575985512</v>
      </c>
      <c r="M189" s="42">
        <f t="shared" si="110"/>
        <v>953386.07027505222</v>
      </c>
      <c r="N189" s="42">
        <f t="shared" si="110"/>
        <v>972453.79168055323</v>
      </c>
      <c r="O189" s="42">
        <f t="shared" si="110"/>
        <v>991902.86751416442</v>
      </c>
      <c r="P189" s="42">
        <f t="shared" si="110"/>
        <v>1011740.9248644478</v>
      </c>
      <c r="Q189" s="42">
        <f t="shared" si="110"/>
        <v>1031975.7433617365</v>
      </c>
      <c r="R189" s="42">
        <f t="shared" si="110"/>
        <v>1052615.2582289712</v>
      </c>
      <c r="S189" s="42">
        <f t="shared" si="110"/>
        <v>1073667.5633935507</v>
      </c>
      <c r="T189" s="42">
        <f t="shared" si="110"/>
        <v>1095140.9146614219</v>
      </c>
      <c r="U189" s="42">
        <f t="shared" si="110"/>
        <v>1117043.7329546502</v>
      </c>
      <c r="V189" s="42">
        <f t="shared" si="110"/>
        <v>1139384.6076137433</v>
      </c>
      <c r="W189" s="42">
        <f t="shared" ref="W189:Z197" si="111">W$180*$D189</f>
        <v>1162172.2997660183</v>
      </c>
      <c r="X189" s="42">
        <f t="shared" si="111"/>
        <v>1185415.7457613386</v>
      </c>
      <c r="Y189" s="42">
        <f t="shared" si="111"/>
        <v>1209124.0606765654</v>
      </c>
      <c r="Z189" s="42">
        <f t="shared" si="111"/>
        <v>1233306.5418900969</v>
      </c>
    </row>
    <row r="190" spans="2:26" x14ac:dyDescent="0.35">
      <c r="B190" s="64" t="s">
        <v>288</v>
      </c>
      <c r="D190" s="115">
        <f>+Assumptions!M105</f>
        <v>0.01</v>
      </c>
      <c r="E190" s="115"/>
      <c r="F190" s="42">
        <f t="shared" ref="F190:F197" si="112">F$180*$D190</f>
        <v>0</v>
      </c>
      <c r="G190" s="42">
        <f t="shared" si="110"/>
        <v>0</v>
      </c>
      <c r="H190" s="42">
        <f t="shared" si="110"/>
        <v>0</v>
      </c>
      <c r="I190" s="42">
        <f t="shared" si="110"/>
        <v>49094.340376538159</v>
      </c>
      <c r="J190" s="42">
        <f t="shared" si="110"/>
        <v>109090.93726512737</v>
      </c>
      <c r="K190" s="42">
        <f t="shared" si="110"/>
        <v>114545.61590194303</v>
      </c>
      <c r="L190" s="42">
        <f t="shared" si="110"/>
        <v>116836.52821998189</v>
      </c>
      <c r="M190" s="42">
        <f t="shared" si="110"/>
        <v>119173.25878438153</v>
      </c>
      <c r="N190" s="42">
        <f t="shared" si="110"/>
        <v>121556.72396006915</v>
      </c>
      <c r="O190" s="42">
        <f t="shared" si="110"/>
        <v>123987.85843927055</v>
      </c>
      <c r="P190" s="42">
        <f t="shared" si="110"/>
        <v>126467.61560805597</v>
      </c>
      <c r="Q190" s="42">
        <f t="shared" si="110"/>
        <v>128996.96792021707</v>
      </c>
      <c r="R190" s="42">
        <f t="shared" si="110"/>
        <v>131576.90727862139</v>
      </c>
      <c r="S190" s="42">
        <f t="shared" si="110"/>
        <v>134208.44542419384</v>
      </c>
      <c r="T190" s="42">
        <f t="shared" si="110"/>
        <v>136892.61433267774</v>
      </c>
      <c r="U190" s="42">
        <f t="shared" si="110"/>
        <v>139630.46661933127</v>
      </c>
      <c r="V190" s="42">
        <f t="shared" si="110"/>
        <v>142423.07595171791</v>
      </c>
      <c r="W190" s="42">
        <f t="shared" si="111"/>
        <v>145271.53747075229</v>
      </c>
      <c r="X190" s="42">
        <f t="shared" si="111"/>
        <v>148176.96822016733</v>
      </c>
      <c r="Y190" s="42">
        <f t="shared" si="111"/>
        <v>151140.50758457067</v>
      </c>
      <c r="Z190" s="42">
        <f t="shared" si="111"/>
        <v>154163.31773626211</v>
      </c>
    </row>
    <row r="191" spans="2:26" x14ac:dyDescent="0.35">
      <c r="B191" s="64" t="s">
        <v>73</v>
      </c>
      <c r="D191" s="115">
        <f>+Assumptions!M106</f>
        <v>6.5000000000000002E-2</v>
      </c>
      <c r="E191" s="115"/>
      <c r="F191" s="42">
        <f t="shared" si="112"/>
        <v>0</v>
      </c>
      <c r="G191" s="42">
        <f t="shared" si="110"/>
        <v>0</v>
      </c>
      <c r="H191" s="42">
        <f t="shared" si="110"/>
        <v>0</v>
      </c>
      <c r="I191" s="42">
        <f t="shared" si="110"/>
        <v>319113.21244749805</v>
      </c>
      <c r="J191" s="42">
        <f t="shared" si="110"/>
        <v>709091.09222332796</v>
      </c>
      <c r="K191" s="42">
        <f t="shared" si="110"/>
        <v>744546.5033626298</v>
      </c>
      <c r="L191" s="42">
        <f t="shared" si="110"/>
        <v>759437.43342988228</v>
      </c>
      <c r="M191" s="42">
        <f t="shared" si="110"/>
        <v>774626.18209847994</v>
      </c>
      <c r="N191" s="42">
        <f t="shared" si="110"/>
        <v>790118.7057404496</v>
      </c>
      <c r="O191" s="42">
        <f t="shared" si="110"/>
        <v>805921.07985525869</v>
      </c>
      <c r="P191" s="42">
        <f t="shared" si="110"/>
        <v>822039.50145236379</v>
      </c>
      <c r="Q191" s="42">
        <f t="shared" si="110"/>
        <v>838480.29148141097</v>
      </c>
      <c r="R191" s="42">
        <f t="shared" si="110"/>
        <v>855249.89731103915</v>
      </c>
      <c r="S191" s="42">
        <f t="shared" si="110"/>
        <v>872354.89525725995</v>
      </c>
      <c r="T191" s="42">
        <f t="shared" si="110"/>
        <v>889801.99316240521</v>
      </c>
      <c r="U191" s="42">
        <f t="shared" si="110"/>
        <v>907598.03302565333</v>
      </c>
      <c r="V191" s="42">
        <f t="shared" si="110"/>
        <v>925749.99368616648</v>
      </c>
      <c r="W191" s="42">
        <f t="shared" si="111"/>
        <v>944264.99355988984</v>
      </c>
      <c r="X191" s="42">
        <f t="shared" si="111"/>
        <v>963150.29343108763</v>
      </c>
      <c r="Y191" s="42">
        <f t="shared" si="111"/>
        <v>982413.2992997095</v>
      </c>
      <c r="Z191" s="42">
        <f t="shared" si="111"/>
        <v>1002061.5652857037</v>
      </c>
    </row>
    <row r="192" spans="2:26" x14ac:dyDescent="0.35">
      <c r="B192" s="64" t="s">
        <v>289</v>
      </c>
      <c r="D192" s="115">
        <f>+Assumptions!M107</f>
        <v>0.02</v>
      </c>
      <c r="E192" s="115"/>
      <c r="F192" s="42">
        <f t="shared" si="112"/>
        <v>0</v>
      </c>
      <c r="G192" s="42">
        <f t="shared" si="110"/>
        <v>0</v>
      </c>
      <c r="H192" s="42">
        <f t="shared" si="110"/>
        <v>0</v>
      </c>
      <c r="I192" s="42">
        <f t="shared" si="110"/>
        <v>98188.680753076318</v>
      </c>
      <c r="J192" s="42">
        <f t="shared" si="110"/>
        <v>218181.87453025475</v>
      </c>
      <c r="K192" s="42">
        <f t="shared" si="110"/>
        <v>229091.23180388607</v>
      </c>
      <c r="L192" s="42">
        <f t="shared" si="110"/>
        <v>233673.05643996378</v>
      </c>
      <c r="M192" s="42">
        <f t="shared" si="110"/>
        <v>238346.51756876305</v>
      </c>
      <c r="N192" s="42">
        <f t="shared" si="110"/>
        <v>243113.44792013831</v>
      </c>
      <c r="O192" s="42">
        <f t="shared" si="110"/>
        <v>247975.7168785411</v>
      </c>
      <c r="P192" s="42">
        <f t="shared" si="110"/>
        <v>252935.23121611195</v>
      </c>
      <c r="Q192" s="42">
        <f t="shared" si="110"/>
        <v>257993.93584043413</v>
      </c>
      <c r="R192" s="42">
        <f t="shared" si="110"/>
        <v>263153.81455724279</v>
      </c>
      <c r="S192" s="42">
        <f t="shared" si="110"/>
        <v>268416.89084838767</v>
      </c>
      <c r="T192" s="42">
        <f t="shared" si="110"/>
        <v>273785.22866535548</v>
      </c>
      <c r="U192" s="42">
        <f t="shared" si="110"/>
        <v>279260.93323866255</v>
      </c>
      <c r="V192" s="42">
        <f t="shared" si="110"/>
        <v>284846.15190343582</v>
      </c>
      <c r="W192" s="42">
        <f t="shared" si="111"/>
        <v>290543.07494150457</v>
      </c>
      <c r="X192" s="42">
        <f t="shared" si="111"/>
        <v>296353.93644033466</v>
      </c>
      <c r="Y192" s="42">
        <f t="shared" si="111"/>
        <v>302281.01516914135</v>
      </c>
      <c r="Z192" s="42">
        <f t="shared" si="111"/>
        <v>308326.63547252421</v>
      </c>
    </row>
    <row r="193" spans="2:26" x14ac:dyDescent="0.35">
      <c r="B193" s="64" t="s">
        <v>290</v>
      </c>
      <c r="D193" s="115">
        <f>+Assumptions!M108</f>
        <v>0.03</v>
      </c>
      <c r="E193" s="115"/>
      <c r="F193" s="42">
        <f t="shared" si="112"/>
        <v>0</v>
      </c>
      <c r="G193" s="42">
        <f t="shared" si="110"/>
        <v>0</v>
      </c>
      <c r="H193" s="42">
        <f t="shared" si="110"/>
        <v>0</v>
      </c>
      <c r="I193" s="42">
        <f t="shared" si="110"/>
        <v>147283.02112961447</v>
      </c>
      <c r="J193" s="42">
        <f t="shared" si="110"/>
        <v>327272.81179538212</v>
      </c>
      <c r="K193" s="42">
        <f t="shared" si="110"/>
        <v>343636.84770582907</v>
      </c>
      <c r="L193" s="42">
        <f t="shared" si="110"/>
        <v>350509.58465994563</v>
      </c>
      <c r="M193" s="42">
        <f t="shared" si="110"/>
        <v>357519.77635314455</v>
      </c>
      <c r="N193" s="42">
        <f t="shared" si="110"/>
        <v>364670.17188020743</v>
      </c>
      <c r="O193" s="42">
        <f t="shared" si="110"/>
        <v>371963.57531781163</v>
      </c>
      <c r="P193" s="42">
        <f t="shared" si="110"/>
        <v>379402.84682416788</v>
      </c>
      <c r="Q193" s="42">
        <f t="shared" si="110"/>
        <v>386990.90376065118</v>
      </c>
      <c r="R193" s="42">
        <f t="shared" si="110"/>
        <v>394730.72183586418</v>
      </c>
      <c r="S193" s="42">
        <f t="shared" si="110"/>
        <v>402625.33627258148</v>
      </c>
      <c r="T193" s="42">
        <f t="shared" si="110"/>
        <v>410677.84299803316</v>
      </c>
      <c r="U193" s="42">
        <f t="shared" si="110"/>
        <v>418891.39985799382</v>
      </c>
      <c r="V193" s="42">
        <f t="shared" si="110"/>
        <v>427269.22785515367</v>
      </c>
      <c r="W193" s="42">
        <f t="shared" si="111"/>
        <v>435814.61241225683</v>
      </c>
      <c r="X193" s="42">
        <f t="shared" si="111"/>
        <v>444530.90466050198</v>
      </c>
      <c r="Y193" s="42">
        <f t="shared" si="111"/>
        <v>453421.52275371202</v>
      </c>
      <c r="Z193" s="42">
        <f t="shared" si="111"/>
        <v>462489.95320878626</v>
      </c>
    </row>
    <row r="194" spans="2:26" x14ac:dyDescent="0.35">
      <c r="B194" s="64" t="s">
        <v>291</v>
      </c>
      <c r="D194" s="115">
        <f>+Assumptions!M109</f>
        <v>0.04</v>
      </c>
      <c r="E194" s="115"/>
      <c r="F194" s="42">
        <f t="shared" si="112"/>
        <v>0</v>
      </c>
      <c r="G194" s="42">
        <f t="shared" si="110"/>
        <v>0</v>
      </c>
      <c r="H194" s="42">
        <f t="shared" si="110"/>
        <v>0</v>
      </c>
      <c r="I194" s="42">
        <f t="shared" si="110"/>
        <v>196377.36150615264</v>
      </c>
      <c r="J194" s="42">
        <f t="shared" si="110"/>
        <v>436363.74906050949</v>
      </c>
      <c r="K194" s="42">
        <f t="shared" si="110"/>
        <v>458182.46360777214</v>
      </c>
      <c r="L194" s="42">
        <f t="shared" si="110"/>
        <v>467346.11287992756</v>
      </c>
      <c r="M194" s="42">
        <f t="shared" si="110"/>
        <v>476693.03513752611</v>
      </c>
      <c r="N194" s="42">
        <f t="shared" si="110"/>
        <v>486226.89584027661</v>
      </c>
      <c r="O194" s="42">
        <f t="shared" si="110"/>
        <v>495951.43375708221</v>
      </c>
      <c r="P194" s="42">
        <f t="shared" si="110"/>
        <v>505870.4624322239</v>
      </c>
      <c r="Q194" s="42">
        <f t="shared" si="110"/>
        <v>515987.87168086827</v>
      </c>
      <c r="R194" s="42">
        <f t="shared" si="110"/>
        <v>526307.62911448558</v>
      </c>
      <c r="S194" s="42">
        <f t="shared" si="110"/>
        <v>536833.78169677535</v>
      </c>
      <c r="T194" s="42">
        <f t="shared" si="110"/>
        <v>547570.45733071095</v>
      </c>
      <c r="U194" s="42">
        <f t="shared" si="110"/>
        <v>558521.86647732509</v>
      </c>
      <c r="V194" s="42">
        <f t="shared" si="110"/>
        <v>569692.30380687164</v>
      </c>
      <c r="W194" s="42">
        <f t="shared" si="111"/>
        <v>581086.14988300914</v>
      </c>
      <c r="X194" s="42">
        <f t="shared" si="111"/>
        <v>592707.87288066931</v>
      </c>
      <c r="Y194" s="42">
        <f t="shared" si="111"/>
        <v>604562.0303382827</v>
      </c>
      <c r="Z194" s="42">
        <f t="shared" si="111"/>
        <v>616653.27094504843</v>
      </c>
    </row>
    <row r="195" spans="2:26" x14ac:dyDescent="0.35">
      <c r="B195" s="64" t="s">
        <v>59</v>
      </c>
      <c r="D195" s="115">
        <f>+Assumptions!M110</f>
        <v>0.01</v>
      </c>
      <c r="E195" s="115"/>
      <c r="F195" s="42">
        <f t="shared" si="112"/>
        <v>0</v>
      </c>
      <c r="G195" s="42">
        <f t="shared" si="110"/>
        <v>0</v>
      </c>
      <c r="H195" s="42">
        <f t="shared" si="110"/>
        <v>0</v>
      </c>
      <c r="I195" s="42">
        <f t="shared" si="110"/>
        <v>49094.340376538159</v>
      </c>
      <c r="J195" s="42">
        <f t="shared" si="110"/>
        <v>109090.93726512737</v>
      </c>
      <c r="K195" s="42">
        <f t="shared" si="110"/>
        <v>114545.61590194303</v>
      </c>
      <c r="L195" s="42">
        <f t="shared" si="110"/>
        <v>116836.52821998189</v>
      </c>
      <c r="M195" s="42">
        <f t="shared" si="110"/>
        <v>119173.25878438153</v>
      </c>
      <c r="N195" s="42">
        <f t="shared" si="110"/>
        <v>121556.72396006915</v>
      </c>
      <c r="O195" s="42">
        <f t="shared" si="110"/>
        <v>123987.85843927055</v>
      </c>
      <c r="P195" s="42">
        <f t="shared" si="110"/>
        <v>126467.61560805597</v>
      </c>
      <c r="Q195" s="42">
        <f t="shared" si="110"/>
        <v>128996.96792021707</v>
      </c>
      <c r="R195" s="42">
        <f t="shared" si="110"/>
        <v>131576.90727862139</v>
      </c>
      <c r="S195" s="42">
        <f t="shared" si="110"/>
        <v>134208.44542419384</v>
      </c>
      <c r="T195" s="42">
        <f t="shared" si="110"/>
        <v>136892.61433267774</v>
      </c>
      <c r="U195" s="42">
        <f t="shared" si="110"/>
        <v>139630.46661933127</v>
      </c>
      <c r="V195" s="42">
        <f t="shared" si="110"/>
        <v>142423.07595171791</v>
      </c>
      <c r="W195" s="42">
        <f t="shared" si="111"/>
        <v>145271.53747075229</v>
      </c>
      <c r="X195" s="42">
        <f t="shared" si="111"/>
        <v>148176.96822016733</v>
      </c>
      <c r="Y195" s="42">
        <f t="shared" si="111"/>
        <v>151140.50758457067</v>
      </c>
      <c r="Z195" s="42">
        <f t="shared" si="111"/>
        <v>154163.31773626211</v>
      </c>
    </row>
    <row r="196" spans="2:26" x14ac:dyDescent="0.35">
      <c r="B196" s="169" t="s">
        <v>331</v>
      </c>
      <c r="D196" s="116">
        <f ca="1">+SUM(F196:Z196)/SUM(F180:Z180)</f>
        <v>0.10181266670955759</v>
      </c>
      <c r="E196" s="116"/>
      <c r="F196" s="151">
        <f ca="1">+IFERROR(INDEX('Taxes and TIF'!$AC$11:$AC$45,MATCH('Phase II Pro Forma'!F$7,'Taxes and TIF'!$R$11:$R$45,0)),0)*'Loan Sizing'!$K$36*F169</f>
        <v>0</v>
      </c>
      <c r="G196" s="151">
        <f ca="1">+IFERROR(INDEX('Taxes and TIF'!$AC$11:$AC$45,MATCH('Phase II Pro Forma'!G$7,'Taxes and TIF'!$R$11:$R$45,0)),0)*'Loan Sizing'!$K$36*G169</f>
        <v>0</v>
      </c>
      <c r="H196" s="151">
        <f ca="1">+IFERROR(INDEX('Taxes and TIF'!$AC$11:$AC$45,MATCH('Phase II Pro Forma'!H$7,'Taxes and TIF'!$R$11:$R$45,0)),0)*'Loan Sizing'!$K$36*H169</f>
        <v>0</v>
      </c>
      <c r="I196" s="151">
        <f ca="1">+IFERROR(INDEX('Taxes and TIF'!$AC$11:$AC$45,MATCH('Phase II Pro Forma'!I$7,'Taxes and TIF'!$R$11:$R$45,0)),0)*'Loan Sizing'!$K$36*I169</f>
        <v>625057.93444194726</v>
      </c>
      <c r="J196" s="151">
        <f ca="1">+IFERROR(INDEX('Taxes and TIF'!$AC$11:$AC$45,MATCH('Phase II Pro Forma'!J$7,'Taxes and TIF'!$R$11:$R$45,0)),0)*'Loan Sizing'!$K$36*J169</f>
        <v>1275118.1862615722</v>
      </c>
      <c r="K196" s="151">
        <f ca="1">+IFERROR(INDEX('Taxes and TIF'!$AC$11:$AC$45,MATCH('Phase II Pro Forma'!K$7,'Taxes and TIF'!$R$11:$R$45,0)),0)*'Loan Sizing'!$K$36*K169</f>
        <v>1275118.1862615722</v>
      </c>
      <c r="L196" s="151">
        <f ca="1">+IFERROR(INDEX('Taxes and TIF'!$AC$11:$AC$45,MATCH('Phase II Pro Forma'!L$7,'Taxes and TIF'!$R$11:$R$45,0)),0)*'Loan Sizing'!$K$36*L169</f>
        <v>1275118.1862615722</v>
      </c>
      <c r="M196" s="151">
        <f ca="1">+IFERROR(INDEX('Taxes and TIF'!$AC$11:$AC$45,MATCH('Phase II Pro Forma'!M$7,'Taxes and TIF'!$R$11:$R$45,0)),0)*'Loan Sizing'!$K$36*M169</f>
        <v>1300620.5499868039</v>
      </c>
      <c r="N196" s="151">
        <f ca="1">+IFERROR(INDEX('Taxes and TIF'!$AC$11:$AC$45,MATCH('Phase II Pro Forma'!N$7,'Taxes and TIF'!$R$11:$R$45,0)),0)*'Loan Sizing'!$K$36*N169</f>
        <v>1300620.5499868039</v>
      </c>
      <c r="O196" s="151">
        <f ca="1">+IFERROR(INDEX('Taxes and TIF'!$AC$11:$AC$45,MATCH('Phase II Pro Forma'!O$7,'Taxes and TIF'!$R$11:$R$45,0)),0)*'Loan Sizing'!$K$36*O169</f>
        <v>1300620.5499868039</v>
      </c>
      <c r="P196" s="151">
        <f ca="1">+IFERROR(INDEX('Taxes and TIF'!$AC$11:$AC$45,MATCH('Phase II Pro Forma'!P$7,'Taxes and TIF'!$R$11:$R$45,0)),0)*'Loan Sizing'!$K$36*P169</f>
        <v>1326632.9609865397</v>
      </c>
      <c r="Q196" s="151">
        <f ca="1">+IFERROR(INDEX('Taxes and TIF'!$AC$11:$AC$45,MATCH('Phase II Pro Forma'!Q$7,'Taxes and TIF'!$R$11:$R$45,0)),0)*'Loan Sizing'!$K$36*Q169</f>
        <v>1326632.9609865397</v>
      </c>
      <c r="R196" s="151">
        <f ca="1">+IFERROR(INDEX('Taxes and TIF'!$AC$11:$AC$45,MATCH('Phase II Pro Forma'!R$7,'Taxes and TIF'!$R$11:$R$45,0)),0)*'Loan Sizing'!$K$36*R169</f>
        <v>1326632.9609865397</v>
      </c>
      <c r="S196" s="151">
        <f ca="1">+IFERROR(INDEX('Taxes and TIF'!$AC$11:$AC$45,MATCH('Phase II Pro Forma'!S$7,'Taxes and TIF'!$R$11:$R$45,0)),0)*'Loan Sizing'!$K$36*S169</f>
        <v>1353165.6202062706</v>
      </c>
      <c r="T196" s="151">
        <f ca="1">+IFERROR(INDEX('Taxes and TIF'!$AC$11:$AC$45,MATCH('Phase II Pro Forma'!T$7,'Taxes and TIF'!$R$11:$R$45,0)),0)*'Loan Sizing'!$K$36*T169</f>
        <v>1353165.6202062706</v>
      </c>
      <c r="U196" s="151">
        <f ca="1">+IFERROR(INDEX('Taxes and TIF'!$AC$11:$AC$45,MATCH('Phase II Pro Forma'!U$7,'Taxes and TIF'!$R$11:$R$45,0)),0)*'Loan Sizing'!$K$36*U169</f>
        <v>1353165.6202062706</v>
      </c>
      <c r="V196" s="151">
        <f ca="1">+IFERROR(INDEX('Taxes and TIF'!$AC$11:$AC$45,MATCH('Phase II Pro Forma'!V$7,'Taxes and TIF'!$R$11:$R$45,0)),0)*'Loan Sizing'!$K$36*V169</f>
        <v>1380228.9326103963</v>
      </c>
      <c r="W196" s="151">
        <f ca="1">+IFERROR(INDEX('Taxes and TIF'!$AC$11:$AC$45,MATCH('Phase II Pro Forma'!W$7,'Taxes and TIF'!$R$11:$R$45,0)),0)*'Loan Sizing'!$K$36*W169</f>
        <v>1380228.9326103963</v>
      </c>
      <c r="X196" s="151">
        <f ca="1">+IFERROR(INDEX('Taxes and TIF'!$AC$11:$AC$45,MATCH('Phase II Pro Forma'!X$7,'Taxes and TIF'!$R$11:$R$45,0)),0)*'Loan Sizing'!$K$36*X169</f>
        <v>1380228.9326103963</v>
      </c>
      <c r="Y196" s="151">
        <f ca="1">+IFERROR(INDEX('Taxes and TIF'!$AC$11:$AC$45,MATCH('Phase II Pro Forma'!Y$7,'Taxes and TIF'!$R$11:$R$45,0)),0)*'Loan Sizing'!$K$36*Y169</f>
        <v>1407833.5112626043</v>
      </c>
      <c r="Z196" s="151">
        <f ca="1">+IFERROR(INDEX('Taxes and TIF'!$AC$11:$AC$45,MATCH('Phase II Pro Forma'!Z$7,'Taxes and TIF'!$R$11:$R$45,0)),0)*'Loan Sizing'!$K$36*Z169</f>
        <v>1407833.5112626043</v>
      </c>
    </row>
    <row r="197" spans="2:26" x14ac:dyDescent="0.35">
      <c r="B197" s="64" t="s">
        <v>292</v>
      </c>
      <c r="D197" s="115">
        <f>+Assumptions!M111</f>
        <v>3.5000000000000003E-2</v>
      </c>
      <c r="E197" s="115"/>
      <c r="F197" s="42">
        <f t="shared" si="112"/>
        <v>0</v>
      </c>
      <c r="G197" s="42">
        <f t="shared" si="110"/>
        <v>0</v>
      </c>
      <c r="H197" s="42">
        <f t="shared" si="110"/>
        <v>0</v>
      </c>
      <c r="I197" s="42">
        <f t="shared" si="110"/>
        <v>171830.19131788358</v>
      </c>
      <c r="J197" s="42">
        <f t="shared" si="110"/>
        <v>381818.28042794584</v>
      </c>
      <c r="K197" s="42">
        <f t="shared" si="110"/>
        <v>400909.65565680066</v>
      </c>
      <c r="L197" s="42">
        <f t="shared" si="110"/>
        <v>408927.84876993665</v>
      </c>
      <c r="M197" s="42">
        <f t="shared" si="110"/>
        <v>417106.40574533539</v>
      </c>
      <c r="N197" s="42">
        <f t="shared" si="110"/>
        <v>425448.53386024211</v>
      </c>
      <c r="O197" s="42">
        <f t="shared" si="110"/>
        <v>433957.50453744701</v>
      </c>
      <c r="P197" s="42">
        <f t="shared" si="110"/>
        <v>442636.65462819592</v>
      </c>
      <c r="Q197" s="42">
        <f t="shared" si="110"/>
        <v>451489.38772075978</v>
      </c>
      <c r="R197" s="42">
        <f t="shared" si="110"/>
        <v>460519.17547517497</v>
      </c>
      <c r="S197" s="42">
        <f t="shared" si="110"/>
        <v>469729.55898467847</v>
      </c>
      <c r="T197" s="42">
        <f t="shared" si="110"/>
        <v>479124.15016437205</v>
      </c>
      <c r="U197" s="42">
        <f t="shared" si="110"/>
        <v>488706.63316765951</v>
      </c>
      <c r="V197" s="42">
        <f t="shared" si="110"/>
        <v>498480.76583101274</v>
      </c>
      <c r="W197" s="42">
        <f t="shared" si="111"/>
        <v>508450.38114763302</v>
      </c>
      <c r="X197" s="42">
        <f t="shared" si="111"/>
        <v>518619.38877058571</v>
      </c>
      <c r="Y197" s="42">
        <f t="shared" si="111"/>
        <v>528991.77654599748</v>
      </c>
      <c r="Z197" s="42">
        <f t="shared" si="111"/>
        <v>539571.61207691743</v>
      </c>
    </row>
    <row r="198" spans="2:26" x14ac:dyDescent="0.35">
      <c r="B198" s="156" t="s">
        <v>183</v>
      </c>
    </row>
    <row r="199" spans="2:26" x14ac:dyDescent="0.35">
      <c r="B199" s="64" t="s">
        <v>9</v>
      </c>
      <c r="D199" s="115">
        <f>+Assumptions!M115</f>
        <v>0.4</v>
      </c>
      <c r="E199" s="115"/>
      <c r="F199" s="42">
        <f t="shared" ref="F199:Z199" si="113">F$182*$D199</f>
        <v>0</v>
      </c>
      <c r="G199" s="42">
        <f t="shared" si="113"/>
        <v>0</v>
      </c>
      <c r="H199" s="42">
        <f t="shared" si="113"/>
        <v>0</v>
      </c>
      <c r="I199" s="42">
        <f t="shared" si="113"/>
        <v>334280.52</v>
      </c>
      <c r="J199" s="42">
        <f t="shared" si="113"/>
        <v>681932.26080000005</v>
      </c>
      <c r="K199" s="42">
        <f t="shared" si="113"/>
        <v>695570.90601600008</v>
      </c>
      <c r="L199" s="42">
        <f t="shared" si="113"/>
        <v>709482.32413632004</v>
      </c>
      <c r="M199" s="42">
        <f t="shared" si="113"/>
        <v>723671.97061904648</v>
      </c>
      <c r="N199" s="42">
        <f t="shared" si="113"/>
        <v>738145.41003142751</v>
      </c>
      <c r="O199" s="42">
        <f t="shared" si="113"/>
        <v>752908.31823205599</v>
      </c>
      <c r="P199" s="42">
        <f t="shared" si="113"/>
        <v>767966.48459669715</v>
      </c>
      <c r="Q199" s="42">
        <f t="shared" si="113"/>
        <v>783325.81428863108</v>
      </c>
      <c r="R199" s="42">
        <f t="shared" si="113"/>
        <v>798992.33057440375</v>
      </c>
      <c r="S199" s="42">
        <f t="shared" si="113"/>
        <v>814972.17718589166</v>
      </c>
      <c r="T199" s="42">
        <f t="shared" si="113"/>
        <v>831271.62072960963</v>
      </c>
      <c r="U199" s="42">
        <f t="shared" si="113"/>
        <v>847897.05314420187</v>
      </c>
      <c r="V199" s="42">
        <f t="shared" si="113"/>
        <v>864854.99420708593</v>
      </c>
      <c r="W199" s="42">
        <f t="shared" si="113"/>
        <v>882152.09409122774</v>
      </c>
      <c r="X199" s="42">
        <f t="shared" si="113"/>
        <v>899795.13597305235</v>
      </c>
      <c r="Y199" s="42">
        <f t="shared" si="113"/>
        <v>917791.03869251336</v>
      </c>
      <c r="Z199" s="42">
        <f t="shared" si="113"/>
        <v>936146.85946636368</v>
      </c>
    </row>
    <row r="200" spans="2:26" x14ac:dyDescent="0.35">
      <c r="B200" s="137" t="s">
        <v>318</v>
      </c>
      <c r="C200" s="137"/>
      <c r="D200" s="137"/>
      <c r="E200" s="137"/>
      <c r="F200" s="129">
        <f t="shared" ref="F200:Z200" ca="1" si="114">+SUM(F186:F199)</f>
        <v>0</v>
      </c>
      <c r="G200" s="129">
        <f t="shared" ca="1" si="114"/>
        <v>0</v>
      </c>
      <c r="H200" s="129">
        <f t="shared" ca="1" si="114"/>
        <v>0</v>
      </c>
      <c r="I200" s="129">
        <f t="shared" ca="1" si="114"/>
        <v>4176574.6780079156</v>
      </c>
      <c r="J200" s="129">
        <f t="shared" ca="1" si="114"/>
        <v>9002890.419573579</v>
      </c>
      <c r="K200" s="129">
        <f t="shared" ca="1" si="114"/>
        <v>9334180.2983815297</v>
      </c>
      <c r="L200" s="129">
        <f t="shared" ca="1" si="114"/>
        <v>9495361.5406239275</v>
      </c>
      <c r="M200" s="129">
        <f t="shared" ca="1" si="114"/>
        <v>9685268.7714364063</v>
      </c>
      <c r="N200" s="129">
        <f t="shared" ca="1" si="114"/>
        <v>9852961.7358653974</v>
      </c>
      <c r="O200" s="129">
        <f t="shared" ca="1" si="114"/>
        <v>10024008.559582969</v>
      </c>
      <c r="P200" s="129">
        <f t="shared" ca="1" si="114"/>
        <v>10224488.730774634</v>
      </c>
      <c r="Q200" s="129">
        <f t="shared" ca="1" si="114"/>
        <v>10402445.846170392</v>
      </c>
      <c r="R200" s="129">
        <f t="shared" ca="1" si="114"/>
        <v>10583962.103874069</v>
      </c>
      <c r="S200" s="129">
        <f t="shared" ca="1" si="114"/>
        <v>10795641.34595155</v>
      </c>
      <c r="T200" s="129">
        <f t="shared" ca="1" si="114"/>
        <v>10984490.860466458</v>
      </c>
      <c r="U200" s="129">
        <f t="shared" ca="1" si="114"/>
        <v>11177117.365271661</v>
      </c>
      <c r="V200" s="129">
        <f t="shared" ca="1" si="114"/>
        <v>11400659.712577093</v>
      </c>
      <c r="W200" s="129">
        <f t="shared" ca="1" si="114"/>
        <v>11601068.328176428</v>
      </c>
      <c r="X200" s="129">
        <f t="shared" ca="1" si="114"/>
        <v>11805485.116087751</v>
      </c>
      <c r="Y200" s="129">
        <f t="shared" ca="1" si="114"/>
        <v>12041594.818409504</v>
      </c>
      <c r="Z200" s="129">
        <f t="shared" ca="1" si="114"/>
        <v>12254270.044552445</v>
      </c>
    </row>
    <row r="202" spans="2:26" x14ac:dyDescent="0.35">
      <c r="B202" s="137" t="s">
        <v>317</v>
      </c>
      <c r="C202" s="137"/>
      <c r="D202" s="137"/>
      <c r="E202" s="137"/>
      <c r="F202" s="129">
        <f t="shared" ref="F202:Z202" ca="1" si="115">+F183-F200</f>
        <v>0</v>
      </c>
      <c r="G202" s="129">
        <f t="shared" ca="1" si="115"/>
        <v>0</v>
      </c>
      <c r="H202" s="129">
        <f t="shared" ca="1" si="115"/>
        <v>0</v>
      </c>
      <c r="I202" s="129">
        <f t="shared" ca="1" si="115"/>
        <v>1568560.6596459001</v>
      </c>
      <c r="J202" s="129">
        <f t="shared" ca="1" si="115"/>
        <v>3611033.9589391593</v>
      </c>
      <c r="K202" s="129">
        <f t="shared" ca="1" si="115"/>
        <v>3859308.5568527728</v>
      </c>
      <c r="L202" s="129">
        <f t="shared" ca="1" si="115"/>
        <v>3961997.0917150602</v>
      </c>
      <c r="M202" s="129">
        <f t="shared" ca="1" si="115"/>
        <v>4041237.0335493628</v>
      </c>
      <c r="N202" s="129">
        <f t="shared" ca="1" si="115"/>
        <v>4148074.1852200869</v>
      </c>
      <c r="O202" s="129">
        <f t="shared" ca="1" si="115"/>
        <v>4257048.0799242258</v>
      </c>
      <c r="P202" s="129">
        <f t="shared" ca="1" si="115"/>
        <v>4342189.0415227059</v>
      </c>
      <c r="Q202" s="129">
        <f t="shared" ca="1" si="115"/>
        <v>4455565.4815728925</v>
      </c>
      <c r="R202" s="129">
        <f t="shared" ca="1" si="115"/>
        <v>4571209.4504240807</v>
      </c>
      <c r="S202" s="129">
        <f t="shared" ca="1" si="115"/>
        <v>4662633.6394325625</v>
      </c>
      <c r="T202" s="129">
        <f t="shared" ca="1" si="115"/>
        <v>4782949.6246253382</v>
      </c>
      <c r="U202" s="129">
        <f t="shared" ca="1" si="115"/>
        <v>4905671.9295219705</v>
      </c>
      <c r="V202" s="129">
        <f t="shared" ca="1" si="115"/>
        <v>5003785.3681124114</v>
      </c>
      <c r="W202" s="129">
        <f t="shared" ca="1" si="115"/>
        <v>5131465.6541268695</v>
      </c>
      <c r="X202" s="129">
        <f t="shared" ca="1" si="115"/>
        <v>5261699.5458616111</v>
      </c>
      <c r="Y202" s="129">
        <f t="shared" ca="1" si="115"/>
        <v>5366933.5367788468</v>
      </c>
      <c r="Z202" s="129">
        <f t="shared" ca="1" si="115"/>
        <v>5502428.8777396753</v>
      </c>
    </row>
    <row r="204" spans="2:26" x14ac:dyDescent="0.35">
      <c r="B204" s="156" t="s">
        <v>83</v>
      </c>
    </row>
    <row r="205" spans="2:26" x14ac:dyDescent="0.35">
      <c r="B205" s="64" t="s">
        <v>293</v>
      </c>
      <c r="D205" s="115">
        <f>+Assumptions!M113</f>
        <v>0.03</v>
      </c>
      <c r="E205" s="115"/>
      <c r="F205" s="42">
        <f t="shared" ref="F205:Z205" si="116">F$180*$D205</f>
        <v>0</v>
      </c>
      <c r="G205" s="42">
        <f t="shared" si="116"/>
        <v>0</v>
      </c>
      <c r="H205" s="42">
        <f t="shared" si="116"/>
        <v>0</v>
      </c>
      <c r="I205" s="42">
        <f t="shared" si="116"/>
        <v>147283.02112961447</v>
      </c>
      <c r="J205" s="42">
        <f t="shared" si="116"/>
        <v>327272.81179538212</v>
      </c>
      <c r="K205" s="42">
        <f t="shared" si="116"/>
        <v>343636.84770582907</v>
      </c>
      <c r="L205" s="42">
        <f t="shared" si="116"/>
        <v>350509.58465994563</v>
      </c>
      <c r="M205" s="42">
        <f t="shared" si="116"/>
        <v>357519.77635314455</v>
      </c>
      <c r="N205" s="42">
        <f t="shared" si="116"/>
        <v>364670.17188020743</v>
      </c>
      <c r="O205" s="42">
        <f t="shared" si="116"/>
        <v>371963.57531781163</v>
      </c>
      <c r="P205" s="42">
        <f t="shared" si="116"/>
        <v>379402.84682416788</v>
      </c>
      <c r="Q205" s="42">
        <f t="shared" si="116"/>
        <v>386990.90376065118</v>
      </c>
      <c r="R205" s="42">
        <f t="shared" si="116"/>
        <v>394730.72183586418</v>
      </c>
      <c r="S205" s="42">
        <f t="shared" si="116"/>
        <v>402625.33627258148</v>
      </c>
      <c r="T205" s="42">
        <f t="shared" si="116"/>
        <v>410677.84299803316</v>
      </c>
      <c r="U205" s="42">
        <f t="shared" si="116"/>
        <v>418891.39985799382</v>
      </c>
      <c r="V205" s="42">
        <f t="shared" si="116"/>
        <v>427269.22785515367</v>
      </c>
      <c r="W205" s="42">
        <f t="shared" si="116"/>
        <v>435814.61241225683</v>
      </c>
      <c r="X205" s="42">
        <f t="shared" si="116"/>
        <v>444530.90466050198</v>
      </c>
      <c r="Y205" s="42">
        <f t="shared" si="116"/>
        <v>453421.52275371202</v>
      </c>
      <c r="Z205" s="42">
        <f t="shared" si="116"/>
        <v>462489.95320878626</v>
      </c>
    </row>
    <row r="206" spans="2:26" x14ac:dyDescent="0.35">
      <c r="B206" s="138" t="s">
        <v>319</v>
      </c>
      <c r="C206" s="138"/>
      <c r="D206" s="138"/>
      <c r="E206" s="138"/>
      <c r="F206" s="139">
        <f ca="1">+F202-F205</f>
        <v>0</v>
      </c>
      <c r="G206" s="139">
        <f t="shared" ref="G206:Z206" ca="1" si="117">+G202-G205</f>
        <v>0</v>
      </c>
      <c r="H206" s="139">
        <f t="shared" ca="1" si="117"/>
        <v>0</v>
      </c>
      <c r="I206" s="139">
        <f t="shared" ca="1" si="117"/>
        <v>1421277.6385162857</v>
      </c>
      <c r="J206" s="139">
        <f t="shared" ca="1" si="117"/>
        <v>3283761.147143777</v>
      </c>
      <c r="K206" s="139">
        <f t="shared" ca="1" si="117"/>
        <v>3515671.7091469439</v>
      </c>
      <c r="L206" s="139">
        <f t="shared" ca="1" si="117"/>
        <v>3611487.5070551145</v>
      </c>
      <c r="M206" s="139">
        <f t="shared" ca="1" si="117"/>
        <v>3683717.2571962182</v>
      </c>
      <c r="N206" s="139">
        <f t="shared" ca="1" si="117"/>
        <v>3783404.0133398795</v>
      </c>
      <c r="O206" s="139">
        <f t="shared" ca="1" si="117"/>
        <v>3885084.5046064141</v>
      </c>
      <c r="P206" s="139">
        <f t="shared" ca="1" si="117"/>
        <v>3962786.1946985382</v>
      </c>
      <c r="Q206" s="139">
        <f t="shared" ca="1" si="117"/>
        <v>4068574.5778122414</v>
      </c>
      <c r="R206" s="139">
        <f t="shared" ca="1" si="117"/>
        <v>4176478.7285882165</v>
      </c>
      <c r="S206" s="139">
        <f t="shared" ca="1" si="117"/>
        <v>4260008.303159981</v>
      </c>
      <c r="T206" s="139">
        <f t="shared" ca="1" si="117"/>
        <v>4372271.7816273049</v>
      </c>
      <c r="U206" s="139">
        <f t="shared" ca="1" si="117"/>
        <v>4486780.5296639763</v>
      </c>
      <c r="V206" s="139">
        <f t="shared" ca="1" si="117"/>
        <v>4576516.140257258</v>
      </c>
      <c r="W206" s="139">
        <f t="shared" ca="1" si="117"/>
        <v>4695651.0417146124</v>
      </c>
      <c r="X206" s="139">
        <f t="shared" ca="1" si="117"/>
        <v>4817168.6412011087</v>
      </c>
      <c r="Y206" s="139">
        <f t="shared" ca="1" si="117"/>
        <v>4913512.014025135</v>
      </c>
      <c r="Z206" s="139">
        <f t="shared" ca="1" si="117"/>
        <v>5039938.9245308889</v>
      </c>
    </row>
    <row r="207" spans="2:26" x14ac:dyDescent="0.35">
      <c r="B207" s="143" t="s">
        <v>257</v>
      </c>
      <c r="C207" s="141"/>
      <c r="D207" s="141"/>
      <c r="E207" s="141"/>
      <c r="F207" s="144" t="str">
        <f t="shared" ref="F207:Z207" ca="1" si="118">+IFERROR(F206/F183,"")</f>
        <v/>
      </c>
      <c r="G207" s="144" t="str">
        <f t="shared" ca="1" si="118"/>
        <v/>
      </c>
      <c r="H207" s="144" t="str">
        <f t="shared" ca="1" si="118"/>
        <v/>
      </c>
      <c r="I207" s="144">
        <f t="shared" ca="1" si="118"/>
        <v>0.24738801698911822</v>
      </c>
      <c r="J207" s="144">
        <f t="shared" ca="1" si="118"/>
        <v>0.26032827283613008</v>
      </c>
      <c r="K207" s="144">
        <f t="shared" ca="1" si="118"/>
        <v>0.26647020721529302</v>
      </c>
      <c r="L207" s="144">
        <f t="shared" ca="1" si="118"/>
        <v>0.2683652569365621</v>
      </c>
      <c r="M207" s="144">
        <f t="shared" ca="1" si="118"/>
        <v>0.26836525693656216</v>
      </c>
      <c r="N207" s="144">
        <f t="shared" ca="1" si="118"/>
        <v>0.27022314882015935</v>
      </c>
      <c r="O207" s="144">
        <f t="shared" ca="1" si="118"/>
        <v>0.27204461145113695</v>
      </c>
      <c r="P207" s="144">
        <f t="shared" ca="1" si="118"/>
        <v>0.27204461145113662</v>
      </c>
      <c r="Q207" s="144">
        <f t="shared" ca="1" si="118"/>
        <v>0.27383035912856574</v>
      </c>
      <c r="R207" s="144">
        <f t="shared" ca="1" si="118"/>
        <v>0.27558109214565291</v>
      </c>
      <c r="S207" s="144">
        <f t="shared" ca="1" si="118"/>
        <v>0.27558109214565296</v>
      </c>
      <c r="T207" s="144">
        <f t="shared" ca="1" si="118"/>
        <v>0.27729749706436579</v>
      </c>
      <c r="U207" s="144">
        <f t="shared" ca="1" si="118"/>
        <v>0.27898024698467261</v>
      </c>
      <c r="V207" s="144">
        <f t="shared" ca="1" si="118"/>
        <v>0.27898024698467278</v>
      </c>
      <c r="W207" s="144">
        <f t="shared" ca="1" si="118"/>
        <v>0.280630001808503</v>
      </c>
      <c r="X207" s="144">
        <f t="shared" ca="1" si="118"/>
        <v>0.28224740849853241</v>
      </c>
      <c r="Y207" s="144">
        <f t="shared" ca="1" si="118"/>
        <v>0.28224740849853264</v>
      </c>
      <c r="Z207" s="144">
        <f t="shared" ca="1" si="118"/>
        <v>0.28383310133189493</v>
      </c>
    </row>
    <row r="208" spans="2:26" x14ac:dyDescent="0.35">
      <c r="B208" s="143" t="s">
        <v>191</v>
      </c>
      <c r="C208" s="141"/>
      <c r="D208" s="141"/>
      <c r="E208" s="141"/>
      <c r="F208" s="142">
        <f ca="1">+F202/Assumptions!$O$131</f>
        <v>0</v>
      </c>
      <c r="G208" s="142">
        <f ca="1">+G202/Assumptions!$O$131</f>
        <v>0</v>
      </c>
      <c r="H208" s="142">
        <f ca="1">+H202/Assumptions!$O$131</f>
        <v>0</v>
      </c>
      <c r="I208" s="142">
        <f ca="1">+I202/Assumptions!$O$131</f>
        <v>19607008.245573752</v>
      </c>
      <c r="J208" s="142">
        <f ca="1">+J202/Assumptions!$O$131</f>
        <v>45137924.486739486</v>
      </c>
      <c r="K208" s="142">
        <f ca="1">+K202/Assumptions!$O$131</f>
        <v>48241356.96065966</v>
      </c>
      <c r="L208" s="142">
        <f ca="1">+L202/Assumptions!$O$131</f>
        <v>49524963.646438248</v>
      </c>
      <c r="M208" s="142">
        <f ca="1">+M202/Assumptions!$O$131</f>
        <v>50515462.91936703</v>
      </c>
      <c r="N208" s="142">
        <f ca="1">+N202/Assumptions!$O$131</f>
        <v>51850927.315251082</v>
      </c>
      <c r="O208" s="142">
        <f ca="1">+O202/Assumptions!$O$131</f>
        <v>53213100.999052823</v>
      </c>
      <c r="P208" s="142">
        <f ca="1">+P202/Assumptions!$O$131</f>
        <v>54277363.019033819</v>
      </c>
      <c r="Q208" s="142">
        <f ca="1">+Q202/Assumptions!$O$131</f>
        <v>55694568.519661158</v>
      </c>
      <c r="R208" s="142">
        <f ca="1">+R202/Assumptions!$O$131</f>
        <v>57140118.130301006</v>
      </c>
      <c r="S208" s="142">
        <f ca="1">+S202/Assumptions!$O$131</f>
        <v>58282920.492907032</v>
      </c>
      <c r="T208" s="142">
        <f ca="1">+T202/Assumptions!$O$131</f>
        <v>59786870.307816729</v>
      </c>
      <c r="U208" s="142">
        <f ca="1">+U202/Assumptions!$O$131</f>
        <v>61320899.119024627</v>
      </c>
      <c r="V208" s="142">
        <f ca="1">+V202/Assumptions!$O$131</f>
        <v>62547317.101405144</v>
      </c>
      <c r="W208" s="142">
        <f ca="1">+W202/Assumptions!$O$131</f>
        <v>64143320.676585868</v>
      </c>
      <c r="X208" s="142">
        <f ca="1">+X202/Assumptions!$O$131</f>
        <v>65771244.323270135</v>
      </c>
      <c r="Y208" s="142">
        <f ca="1">+Y202/Assumptions!$O$131</f>
        <v>67086669.20973558</v>
      </c>
      <c r="Z208" s="142">
        <f ca="1">+Z202/Assumptions!$O$131</f>
        <v>68780360.971745938</v>
      </c>
    </row>
    <row r="210" spans="2:26" x14ac:dyDescent="0.35">
      <c r="B210" s="148" t="s">
        <v>31</v>
      </c>
      <c r="F210" s="150">
        <f>+Assumptions!$G$22</f>
        <v>44926</v>
      </c>
      <c r="G210" s="150">
        <f>+EOMONTH(F210,12)</f>
        <v>45291</v>
      </c>
      <c r="H210" s="150">
        <f t="shared" ref="H210:Z210" si="119">+EOMONTH(G210,12)</f>
        <v>45657</v>
      </c>
      <c r="I210" s="150">
        <f t="shared" si="119"/>
        <v>46022</v>
      </c>
      <c r="J210" s="150">
        <f t="shared" si="119"/>
        <v>46387</v>
      </c>
      <c r="K210" s="150">
        <f t="shared" si="119"/>
        <v>46752</v>
      </c>
      <c r="L210" s="150">
        <f t="shared" si="119"/>
        <v>47118</v>
      </c>
      <c r="M210" s="150">
        <f t="shared" si="119"/>
        <v>47483</v>
      </c>
      <c r="N210" s="150">
        <f t="shared" si="119"/>
        <v>47848</v>
      </c>
      <c r="O210" s="150">
        <f t="shared" si="119"/>
        <v>48213</v>
      </c>
      <c r="P210" s="150">
        <f t="shared" si="119"/>
        <v>48579</v>
      </c>
      <c r="Q210" s="150">
        <f t="shared" si="119"/>
        <v>48944</v>
      </c>
      <c r="R210" s="150">
        <f t="shared" si="119"/>
        <v>49309</v>
      </c>
      <c r="S210" s="150">
        <f t="shared" si="119"/>
        <v>49674</v>
      </c>
      <c r="T210" s="150">
        <f t="shared" si="119"/>
        <v>50040</v>
      </c>
      <c r="U210" s="150">
        <f t="shared" si="119"/>
        <v>50405</v>
      </c>
      <c r="V210" s="150">
        <f t="shared" si="119"/>
        <v>50770</v>
      </c>
      <c r="W210" s="150">
        <f t="shared" si="119"/>
        <v>51135</v>
      </c>
      <c r="X210" s="150">
        <f t="shared" si="119"/>
        <v>51501</v>
      </c>
      <c r="Y210" s="150">
        <f t="shared" si="119"/>
        <v>51866</v>
      </c>
      <c r="Z210" s="150">
        <f t="shared" si="119"/>
        <v>52231</v>
      </c>
    </row>
    <row r="211" spans="2:26" x14ac:dyDescent="0.35">
      <c r="B211" s="33" t="s">
        <v>337</v>
      </c>
      <c r="F211" s="34">
        <v>0</v>
      </c>
      <c r="G211" s="34">
        <f t="shared" ref="G211:Z211" si="120">+F214</f>
        <v>0</v>
      </c>
      <c r="H211" s="34">
        <f t="shared" si="120"/>
        <v>0</v>
      </c>
      <c r="I211" s="34">
        <f t="shared" si="120"/>
        <v>0</v>
      </c>
      <c r="J211" s="34">
        <f t="shared" ca="1" si="120"/>
        <v>38593085.568527728</v>
      </c>
      <c r="K211" s="34">
        <f t="shared" ca="1" si="120"/>
        <v>38593085.568527728</v>
      </c>
      <c r="L211" s="34">
        <f t="shared" ca="1" si="120"/>
        <v>38593085.568527728</v>
      </c>
      <c r="M211" s="34">
        <f t="shared" ca="1" si="120"/>
        <v>38593085.568527728</v>
      </c>
      <c r="N211" s="34">
        <f t="shared" ca="1" si="120"/>
        <v>38593085.568527728</v>
      </c>
      <c r="O211" s="34">
        <f t="shared" ca="1" si="120"/>
        <v>38593085.568527728</v>
      </c>
      <c r="P211" s="34">
        <f t="shared" ca="1" si="120"/>
        <v>38593085.568527728</v>
      </c>
      <c r="Q211" s="34">
        <f t="shared" ca="1" si="120"/>
        <v>38593085.568527728</v>
      </c>
      <c r="R211" s="34">
        <f t="shared" ca="1" si="120"/>
        <v>38593085.568527728</v>
      </c>
      <c r="S211" s="34">
        <f t="shared" ca="1" si="120"/>
        <v>38593085.568527728</v>
      </c>
      <c r="T211" s="34">
        <f t="shared" ca="1" si="120"/>
        <v>38593085.568527728</v>
      </c>
      <c r="U211" s="34">
        <f t="shared" ca="1" si="120"/>
        <v>38593085.568527728</v>
      </c>
      <c r="V211" s="34">
        <f t="shared" ca="1" si="120"/>
        <v>38593085.568527728</v>
      </c>
      <c r="W211" s="34">
        <f t="shared" ca="1" si="120"/>
        <v>38593085.568527728</v>
      </c>
      <c r="X211" s="34">
        <f t="shared" ca="1" si="120"/>
        <v>38593085.568527728</v>
      </c>
      <c r="Y211" s="34">
        <f t="shared" ca="1" si="120"/>
        <v>38593085.568527728</v>
      </c>
      <c r="Z211" s="34">
        <f t="shared" ca="1" si="120"/>
        <v>38593085.568527728</v>
      </c>
    </row>
    <row r="212" spans="2:26" x14ac:dyDescent="0.35">
      <c r="B212" s="33" t="s">
        <v>348</v>
      </c>
      <c r="F212" s="151">
        <f>+IF(YEAR(F$140)=YEAR(Assumptions!$G$26),'S&amp;U'!$S$18,0)</f>
        <v>0</v>
      </c>
      <c r="G212" s="151">
        <f>+IF(YEAR(G$140)=YEAR(Assumptions!$G$26),'S&amp;U'!$S$18,0)</f>
        <v>0</v>
      </c>
      <c r="H212" s="151">
        <f>+IF(YEAR(H$140)=YEAR(Assumptions!$G$26),'S&amp;U'!$S$18,0)</f>
        <v>0</v>
      </c>
      <c r="I212" s="151">
        <f ca="1">+IF(YEAR(I$140)=YEAR(Assumptions!$G$26),'S&amp;U'!$S$18,0)</f>
        <v>38593085.568527728</v>
      </c>
      <c r="J212" s="151">
        <f>+IF(YEAR(J$140)=YEAR(Assumptions!$G$26),'S&amp;U'!$S$18,0)</f>
        <v>0</v>
      </c>
      <c r="K212" s="151">
        <f>+IF(YEAR(K$140)=YEAR(Assumptions!$G$26),'S&amp;U'!$S$18,0)</f>
        <v>0</v>
      </c>
      <c r="L212" s="151">
        <f>+IF(YEAR(L$140)=YEAR(Assumptions!$G$26),'S&amp;U'!$S$18,0)</f>
        <v>0</v>
      </c>
      <c r="M212" s="151">
        <f>+IF(YEAR(M$140)=YEAR(Assumptions!$G$26),'S&amp;U'!$S$18,0)</f>
        <v>0</v>
      </c>
      <c r="N212" s="151">
        <f>+IF(YEAR(N$140)=YEAR(Assumptions!$G$26),'S&amp;U'!$S$18,0)</f>
        <v>0</v>
      </c>
      <c r="O212" s="151">
        <f>+IF(YEAR(O$140)=YEAR(Assumptions!$G$26),'S&amp;U'!$S$18,0)</f>
        <v>0</v>
      </c>
      <c r="P212" s="151">
        <f>+IF(YEAR(P$140)=YEAR(Assumptions!$G$26),'S&amp;U'!$S$18,0)</f>
        <v>0</v>
      </c>
      <c r="Q212" s="151">
        <f>+IF(YEAR(Q$140)=YEAR(Assumptions!$G$26),'S&amp;U'!$S$18,0)</f>
        <v>0</v>
      </c>
      <c r="R212" s="151">
        <f>+IF(YEAR(R$140)=YEAR(Assumptions!$G$26),'S&amp;U'!$S$18,0)</f>
        <v>0</v>
      </c>
      <c r="S212" s="151">
        <f>+IF(YEAR(S$140)=YEAR(Assumptions!$G$26),'S&amp;U'!$S$18,0)</f>
        <v>0</v>
      </c>
      <c r="T212" s="151">
        <f>+IF(YEAR(T$140)=YEAR(Assumptions!$G$26),'S&amp;U'!$S$18,0)</f>
        <v>0</v>
      </c>
      <c r="U212" s="151">
        <f>+IF(YEAR(U$140)=YEAR(Assumptions!$G$26),'S&amp;U'!$S$18,0)</f>
        <v>0</v>
      </c>
      <c r="V212" s="151">
        <f>+IF(YEAR(V$140)=YEAR(Assumptions!$G$26),'S&amp;U'!$S$18,0)</f>
        <v>0</v>
      </c>
      <c r="W212" s="151">
        <f>+IF(YEAR(W$140)=YEAR(Assumptions!$G$26),'S&amp;U'!$S$18,0)</f>
        <v>0</v>
      </c>
      <c r="X212" s="151">
        <f>+IF(YEAR(X$140)=YEAR(Assumptions!$G$26),'S&amp;U'!$S$18,0)</f>
        <v>0</v>
      </c>
      <c r="Y212" s="151">
        <f>+IF(YEAR(Y$140)=YEAR(Assumptions!$G$26),'S&amp;U'!$S$18,0)</f>
        <v>0</v>
      </c>
      <c r="Z212" s="151">
        <f>+IF(YEAR(Z$140)=YEAR(Assumptions!$G$26),'S&amp;U'!$S$18,0)</f>
        <v>0</v>
      </c>
    </row>
    <row r="213" spans="2:26" x14ac:dyDescent="0.35">
      <c r="B213" s="33" t="s">
        <v>165</v>
      </c>
      <c r="F213" s="151">
        <v>0</v>
      </c>
      <c r="G213" s="151">
        <v>0</v>
      </c>
      <c r="H213" s="151">
        <v>0</v>
      </c>
      <c r="I213" s="151">
        <v>0</v>
      </c>
      <c r="J213" s="151">
        <v>0</v>
      </c>
      <c r="K213" s="151">
        <v>0</v>
      </c>
      <c r="L213" s="151">
        <v>0</v>
      </c>
      <c r="M213" s="151">
        <v>0</v>
      </c>
      <c r="N213" s="151">
        <v>0</v>
      </c>
      <c r="O213" s="151">
        <v>0</v>
      </c>
      <c r="P213" s="151">
        <v>0</v>
      </c>
      <c r="Q213" s="151">
        <v>0</v>
      </c>
      <c r="R213" s="151">
        <v>0</v>
      </c>
      <c r="S213" s="151">
        <v>0</v>
      </c>
      <c r="T213" s="151">
        <v>0</v>
      </c>
      <c r="U213" s="151">
        <v>0</v>
      </c>
      <c r="V213" s="151">
        <v>0</v>
      </c>
      <c r="W213" s="151">
        <v>0</v>
      </c>
      <c r="X213" s="151">
        <v>0</v>
      </c>
      <c r="Y213" s="151">
        <v>0</v>
      </c>
      <c r="Z213" s="151">
        <v>0</v>
      </c>
    </row>
    <row r="214" spans="2:26" x14ac:dyDescent="0.35">
      <c r="B214" s="33" t="s">
        <v>339</v>
      </c>
      <c r="F214" s="151">
        <f t="shared" ref="F214:N214" si="121">+SUM(F211:F213)</f>
        <v>0</v>
      </c>
      <c r="G214" s="151">
        <f t="shared" si="121"/>
        <v>0</v>
      </c>
      <c r="H214" s="151">
        <f t="shared" si="121"/>
        <v>0</v>
      </c>
      <c r="I214" s="151">
        <f t="shared" ca="1" si="121"/>
        <v>38593085.568527728</v>
      </c>
      <c r="J214" s="151">
        <f t="shared" ca="1" si="121"/>
        <v>38593085.568527728</v>
      </c>
      <c r="K214" s="151">
        <f t="shared" ca="1" si="121"/>
        <v>38593085.568527728</v>
      </c>
      <c r="L214" s="151">
        <f t="shared" ca="1" si="121"/>
        <v>38593085.568527728</v>
      </c>
      <c r="M214" s="151">
        <f t="shared" ca="1" si="121"/>
        <v>38593085.568527728</v>
      </c>
      <c r="N214" s="151">
        <f t="shared" ca="1" si="121"/>
        <v>38593085.568527728</v>
      </c>
      <c r="O214" s="151">
        <f t="shared" ref="O214" ca="1" si="122">+SUM(O211:O213)</f>
        <v>38593085.568527728</v>
      </c>
      <c r="P214" s="151">
        <f t="shared" ref="P214:Z214" ca="1" si="123">+SUM(P211:P213)</f>
        <v>38593085.568527728</v>
      </c>
      <c r="Q214" s="151">
        <f t="shared" ca="1" si="123"/>
        <v>38593085.568527728</v>
      </c>
      <c r="R214" s="151">
        <f t="shared" ca="1" si="123"/>
        <v>38593085.568527728</v>
      </c>
      <c r="S214" s="151">
        <f t="shared" ca="1" si="123"/>
        <v>38593085.568527728</v>
      </c>
      <c r="T214" s="151">
        <f t="shared" ca="1" si="123"/>
        <v>38593085.568527728</v>
      </c>
      <c r="U214" s="151">
        <f t="shared" ca="1" si="123"/>
        <v>38593085.568527728</v>
      </c>
      <c r="V214" s="151">
        <f t="shared" ca="1" si="123"/>
        <v>38593085.568527728</v>
      </c>
      <c r="W214" s="151">
        <f t="shared" ca="1" si="123"/>
        <v>38593085.568527728</v>
      </c>
      <c r="X214" s="151">
        <f t="shared" ca="1" si="123"/>
        <v>38593085.568527728</v>
      </c>
      <c r="Y214" s="151">
        <f t="shared" ca="1" si="123"/>
        <v>38593085.568527728</v>
      </c>
      <c r="Z214" s="151">
        <f t="shared" ca="1" si="123"/>
        <v>38593085.568527728</v>
      </c>
    </row>
    <row r="216" spans="2:26" x14ac:dyDescent="0.35">
      <c r="B216" s="41" t="s">
        <v>338</v>
      </c>
      <c r="F216" s="34">
        <f>+F214*Assumptions!$O$157</f>
        <v>0</v>
      </c>
      <c r="G216" s="34">
        <f>+G214*Assumptions!$O$157</f>
        <v>0</v>
      </c>
      <c r="H216" s="34">
        <f>+H214*Assumptions!$O$157</f>
        <v>0</v>
      </c>
      <c r="I216" s="34">
        <f ca="1">+I214*Assumptions!$O$157</f>
        <v>2315585.1341116638</v>
      </c>
      <c r="J216" s="34">
        <f ca="1">+J214*Assumptions!$O$157</f>
        <v>2315585.1341116638</v>
      </c>
      <c r="K216" s="34">
        <f ca="1">+K214*Assumptions!$O$157</f>
        <v>2315585.1341116638</v>
      </c>
      <c r="L216" s="34">
        <f ca="1">+L214*Assumptions!$O$157</f>
        <v>2315585.1341116638</v>
      </c>
      <c r="M216" s="34">
        <f ca="1">+M214*Assumptions!$O$157</f>
        <v>2315585.1341116638</v>
      </c>
      <c r="N216" s="34">
        <f ca="1">+N214*Assumptions!$O$157</f>
        <v>2315585.1341116638</v>
      </c>
      <c r="O216" s="34">
        <f ca="1">+O214*Assumptions!$O$157</f>
        <v>2315585.1341116638</v>
      </c>
      <c r="P216" s="34">
        <f ca="1">+P214*Assumptions!$O$157</f>
        <v>2315585.1341116638</v>
      </c>
      <c r="Q216" s="34">
        <f ca="1">+Q214*Assumptions!$O$157</f>
        <v>2315585.1341116638</v>
      </c>
      <c r="R216" s="34">
        <f ca="1">+R214*Assumptions!$O$157</f>
        <v>2315585.1341116638</v>
      </c>
      <c r="S216" s="34">
        <f ca="1">+S214*Assumptions!$O$157</f>
        <v>2315585.1341116638</v>
      </c>
      <c r="T216" s="34">
        <f ca="1">+T214*Assumptions!$O$157</f>
        <v>2315585.1341116638</v>
      </c>
      <c r="U216" s="34">
        <f ca="1">+U214*Assumptions!$O$157</f>
        <v>2315585.1341116638</v>
      </c>
      <c r="V216" s="34">
        <f ca="1">+V214*Assumptions!$O$157</f>
        <v>2315585.1341116638</v>
      </c>
      <c r="W216" s="34">
        <f ca="1">+W214*Assumptions!$O$157</f>
        <v>2315585.1341116638</v>
      </c>
      <c r="X216" s="34">
        <f ca="1">+X214*Assumptions!$O$157</f>
        <v>2315585.1341116638</v>
      </c>
      <c r="Y216" s="34">
        <f ca="1">+Y214*Assumptions!$O$157</f>
        <v>2315585.1341116638</v>
      </c>
      <c r="Z216" s="34">
        <f ca="1">+Z214*Assumptions!$O$157</f>
        <v>2315585.1341116638</v>
      </c>
    </row>
    <row r="217" spans="2:26" x14ac:dyDescent="0.35">
      <c r="B217" s="137" t="s">
        <v>347</v>
      </c>
      <c r="C217" s="137"/>
      <c r="D217" s="137"/>
      <c r="E217" s="137"/>
      <c r="F217" s="129">
        <f t="shared" ref="F217:K217" si="124">+F216-F213</f>
        <v>0</v>
      </c>
      <c r="G217" s="129">
        <f t="shared" si="124"/>
        <v>0</v>
      </c>
      <c r="H217" s="129">
        <f t="shared" si="124"/>
        <v>0</v>
      </c>
      <c r="I217" s="129">
        <f t="shared" ca="1" si="124"/>
        <v>2315585.1341116638</v>
      </c>
      <c r="J217" s="129">
        <f t="shared" ca="1" si="124"/>
        <v>2315585.1341116638</v>
      </c>
      <c r="K217" s="129">
        <f t="shared" ca="1" si="124"/>
        <v>2315585.1341116638</v>
      </c>
      <c r="L217" s="129">
        <f ca="1">+L216-L213</f>
        <v>2315585.1341116638</v>
      </c>
      <c r="M217" s="129">
        <f t="shared" ref="M217:Z217" ca="1" si="125">+M216-M213</f>
        <v>2315585.1341116638</v>
      </c>
      <c r="N217" s="129">
        <f t="shared" ca="1" si="125"/>
        <v>2315585.1341116638</v>
      </c>
      <c r="O217" s="129">
        <f t="shared" ca="1" si="125"/>
        <v>2315585.1341116638</v>
      </c>
      <c r="P217" s="129">
        <f t="shared" ca="1" si="125"/>
        <v>2315585.1341116638</v>
      </c>
      <c r="Q217" s="129">
        <f t="shared" ca="1" si="125"/>
        <v>2315585.1341116638</v>
      </c>
      <c r="R217" s="129">
        <f t="shared" ca="1" si="125"/>
        <v>2315585.1341116638</v>
      </c>
      <c r="S217" s="129">
        <f t="shared" ca="1" si="125"/>
        <v>2315585.1341116638</v>
      </c>
      <c r="T217" s="129">
        <f t="shared" ca="1" si="125"/>
        <v>2315585.1341116638</v>
      </c>
      <c r="U217" s="129">
        <f t="shared" ca="1" si="125"/>
        <v>2315585.1341116638</v>
      </c>
      <c r="V217" s="129">
        <f t="shared" ca="1" si="125"/>
        <v>2315585.1341116638</v>
      </c>
      <c r="W217" s="129">
        <f t="shared" ca="1" si="125"/>
        <v>2315585.1341116638</v>
      </c>
      <c r="X217" s="129">
        <f t="shared" ca="1" si="125"/>
        <v>2315585.1341116638</v>
      </c>
      <c r="Y217" s="129">
        <f t="shared" ca="1" si="125"/>
        <v>2315585.1341116638</v>
      </c>
      <c r="Z217" s="129">
        <f t="shared" ca="1" si="125"/>
        <v>2315585.1341116638</v>
      </c>
    </row>
    <row r="218" spans="2:26" x14ac:dyDescent="0.35">
      <c r="B218" s="146" t="s">
        <v>184</v>
      </c>
      <c r="F218" s="180" t="str">
        <f t="shared" ref="F218:J218" ca="1" si="126">+IFERROR(F206/F217,"")</f>
        <v/>
      </c>
      <c r="G218" s="180" t="str">
        <f t="shared" ca="1" si="126"/>
        <v/>
      </c>
      <c r="H218" s="180" t="str">
        <f t="shared" ca="1" si="126"/>
        <v/>
      </c>
      <c r="I218" s="180">
        <f t="shared" ca="1" si="126"/>
        <v>0.61378768483998558</v>
      </c>
      <c r="J218" s="180">
        <f t="shared" ca="1" si="126"/>
        <v>1.418112898882268</v>
      </c>
      <c r="K218" s="180">
        <f ca="1">+IFERROR(K206/K217,"")</f>
        <v>1.5182649332803191</v>
      </c>
      <c r="L218" s="180">
        <f t="shared" ref="L218:Z218" ca="1" si="127">+IFERROR(L206/L217,"")</f>
        <v>1.5596435880733024</v>
      </c>
      <c r="M218" s="180">
        <f t="shared" ca="1" si="127"/>
        <v>1.5908364598347691</v>
      </c>
      <c r="N218" s="180">
        <f t="shared" ca="1" si="127"/>
        <v>1.6338868122813892</v>
      </c>
      <c r="O218" s="180">
        <f t="shared" ca="1" si="127"/>
        <v>1.6777981717769419</v>
      </c>
      <c r="P218" s="180">
        <f t="shared" ca="1" si="127"/>
        <v>1.7113541352124788</v>
      </c>
      <c r="Q218" s="180">
        <f t="shared" ca="1" si="127"/>
        <v>1.7570395136316519</v>
      </c>
      <c r="R218" s="180">
        <f t="shared" ca="1" si="127"/>
        <v>1.8036385996192077</v>
      </c>
      <c r="S218" s="180">
        <f t="shared" ca="1" si="127"/>
        <v>1.8397113716115918</v>
      </c>
      <c r="T218" s="180">
        <f t="shared" ca="1" si="127"/>
        <v>1.8881930606730446</v>
      </c>
      <c r="U218" s="180">
        <f t="shared" ca="1" si="127"/>
        <v>1.9376443835157269</v>
      </c>
      <c r="V218" s="180">
        <f t="shared" ca="1" si="127"/>
        <v>1.9763972711860422</v>
      </c>
      <c r="W218" s="180">
        <f t="shared" ca="1" si="127"/>
        <v>2.0278464274715695</v>
      </c>
      <c r="X218" s="180">
        <f t="shared" ca="1" si="127"/>
        <v>2.0803245668828048</v>
      </c>
      <c r="Y218" s="180">
        <f t="shared" ca="1" si="127"/>
        <v>2.1219310582204627</v>
      </c>
      <c r="Z218" s="180">
        <f t="shared" ca="1" si="127"/>
        <v>2.1765293144639135</v>
      </c>
    </row>
    <row r="220" spans="2:26" x14ac:dyDescent="0.35">
      <c r="B220" s="41" t="s">
        <v>159</v>
      </c>
      <c r="F220" s="34">
        <f>+F212*Assumptions!$O$158</f>
        <v>0</v>
      </c>
      <c r="G220" s="34">
        <f>+G212*Assumptions!$O$158</f>
        <v>0</v>
      </c>
      <c r="H220" s="34">
        <f>+H212*Assumptions!$O$158</f>
        <v>0</v>
      </c>
      <c r="I220" s="34">
        <f ca="1">+I212*Assumptions!$O$158</f>
        <v>385930.85568527732</v>
      </c>
      <c r="J220" s="34">
        <f>+J212*Assumptions!$O$158</f>
        <v>0</v>
      </c>
      <c r="K220" s="34">
        <f>+K212*Assumptions!$O$158</f>
        <v>0</v>
      </c>
      <c r="L220" s="34">
        <f>+L212*Assumptions!$O$158</f>
        <v>0</v>
      </c>
      <c r="M220" s="34">
        <f>+M212*Assumptions!$O$158</f>
        <v>0</v>
      </c>
      <c r="N220" s="34">
        <f>+N212*Assumptions!$O$158</f>
        <v>0</v>
      </c>
      <c r="O220" s="34">
        <f>+O212*Assumptions!$O$158</f>
        <v>0</v>
      </c>
      <c r="P220" s="34">
        <f>+P212*Assumptions!$O$158</f>
        <v>0</v>
      </c>
      <c r="Q220" s="34">
        <f>+Q212*Assumptions!$O$158</f>
        <v>0</v>
      </c>
      <c r="R220" s="34">
        <f>+R212*Assumptions!$O$158</f>
        <v>0</v>
      </c>
      <c r="S220" s="34">
        <f>+S212*Assumptions!$O$158</f>
        <v>0</v>
      </c>
      <c r="T220" s="34">
        <f>+T212*Assumptions!$O$158</f>
        <v>0</v>
      </c>
      <c r="U220" s="34">
        <f>+U212*Assumptions!$O$158</f>
        <v>0</v>
      </c>
      <c r="V220" s="34">
        <f>+V212*Assumptions!$O$158</f>
        <v>0</v>
      </c>
      <c r="W220" s="34">
        <f>+W212*Assumptions!$O$158</f>
        <v>0</v>
      </c>
      <c r="X220" s="34">
        <f>+X212*Assumptions!$O$158</f>
        <v>0</v>
      </c>
      <c r="Y220" s="34">
        <f>+Y212*Assumptions!$O$158</f>
        <v>0</v>
      </c>
      <c r="Z220" s="34">
        <f>+Z212*Assumptions!$O$158</f>
        <v>0</v>
      </c>
    </row>
    <row r="222" spans="2:26" x14ac:dyDescent="0.35">
      <c r="B222" s="137" t="s">
        <v>340</v>
      </c>
      <c r="C222" s="137"/>
      <c r="D222" s="137"/>
      <c r="E222" s="137"/>
      <c r="F222" s="129">
        <f ca="1">+F206-F217-F220</f>
        <v>0</v>
      </c>
      <c r="G222" s="129">
        <f t="shared" ref="G222:Z222" ca="1" si="128">+G206-G217-G220</f>
        <v>0</v>
      </c>
      <c r="H222" s="129">
        <f t="shared" ca="1" si="128"/>
        <v>0</v>
      </c>
      <c r="I222" s="129">
        <f t="shared" ca="1" si="128"/>
        <v>-1280238.3512806555</v>
      </c>
      <c r="J222" s="129">
        <f t="shared" ca="1" si="128"/>
        <v>968176.0130321132</v>
      </c>
      <c r="K222" s="129">
        <f t="shared" ca="1" si="128"/>
        <v>1200086.5750352801</v>
      </c>
      <c r="L222" s="129">
        <f t="shared" ca="1" si="128"/>
        <v>1295902.3729434507</v>
      </c>
      <c r="M222" s="129">
        <f t="shared" ca="1" si="128"/>
        <v>1368132.1230845544</v>
      </c>
      <c r="N222" s="129">
        <f t="shared" ca="1" si="128"/>
        <v>1467818.8792282157</v>
      </c>
      <c r="O222" s="129">
        <f t="shared" ca="1" si="128"/>
        <v>1569499.3704947503</v>
      </c>
      <c r="P222" s="129">
        <f t="shared" ca="1" si="128"/>
        <v>1647201.0605868744</v>
      </c>
      <c r="Q222" s="129">
        <f t="shared" ca="1" si="128"/>
        <v>1752989.4437005776</v>
      </c>
      <c r="R222" s="129">
        <f t="shared" ca="1" si="128"/>
        <v>1860893.5944765527</v>
      </c>
      <c r="S222" s="129">
        <f t="shared" ca="1" si="128"/>
        <v>1944423.1690483172</v>
      </c>
      <c r="T222" s="129">
        <f t="shared" ca="1" si="128"/>
        <v>2056686.6475156411</v>
      </c>
      <c r="U222" s="129">
        <f t="shared" ca="1" si="128"/>
        <v>2171195.3955523125</v>
      </c>
      <c r="V222" s="129">
        <f t="shared" ca="1" si="128"/>
        <v>2260931.0061455942</v>
      </c>
      <c r="W222" s="129">
        <f t="shared" ca="1" si="128"/>
        <v>2380065.9076029486</v>
      </c>
      <c r="X222" s="129">
        <f t="shared" ca="1" si="128"/>
        <v>2501583.5070894449</v>
      </c>
      <c r="Y222" s="129">
        <f t="shared" ca="1" si="128"/>
        <v>2597926.8799134712</v>
      </c>
      <c r="Z222" s="129">
        <f t="shared" ca="1" si="128"/>
        <v>2724353.7904192251</v>
      </c>
    </row>
    <row r="224" spans="2:26" x14ac:dyDescent="0.35">
      <c r="B224" s="148" t="s">
        <v>341</v>
      </c>
    </row>
    <row r="225" spans="2:26" x14ac:dyDescent="0.35">
      <c r="B225" s="33" t="s">
        <v>342</v>
      </c>
      <c r="F225" s="34">
        <f>+IF(YEAR(F$140)=YEAR(Assumptions!$G$30),F208,0)</f>
        <v>0</v>
      </c>
      <c r="G225" s="34">
        <f>+IF(YEAR(G$140)=YEAR(Assumptions!$G$30),G208,0)</f>
        <v>0</v>
      </c>
      <c r="H225" s="34">
        <f>+IF(YEAR(H$140)=YEAR(Assumptions!$G$30),H208,0)</f>
        <v>0</v>
      </c>
      <c r="I225" s="34">
        <f>+IF(YEAR(I$140)=YEAR(Assumptions!$G$30),I208,0)</f>
        <v>0</v>
      </c>
      <c r="J225" s="34">
        <f>+IF(YEAR(J$140)=YEAR(Assumptions!$G$30),J208,0)</f>
        <v>0</v>
      </c>
      <c r="K225" s="34">
        <f>+IF(YEAR(K$140)=YEAR(Assumptions!$G$30),K208,0)</f>
        <v>0</v>
      </c>
      <c r="L225" s="34">
        <f>+IF(YEAR(L$140)=YEAR(Assumptions!$G$30),L208,0)</f>
        <v>0</v>
      </c>
      <c r="M225" s="34">
        <f>+IF(YEAR(M$140)=YEAR(Assumptions!$G$30),M208,0)</f>
        <v>0</v>
      </c>
      <c r="N225" s="34">
        <f ca="1">+IF(YEAR(N$140)=YEAR(Assumptions!$G$30),N208,0)</f>
        <v>51850927.315251082</v>
      </c>
      <c r="O225" s="34">
        <f>+IF(YEAR(O$140)=YEAR(Assumptions!$G$30),O208,0)</f>
        <v>0</v>
      </c>
      <c r="P225" s="34">
        <f>+IF(YEAR(P$140)=YEAR(Assumptions!$G$30),P208,0)</f>
        <v>0</v>
      </c>
      <c r="Q225" s="34">
        <f>+IF(YEAR(Q$140)=YEAR(Assumptions!$G$30),Q208,0)</f>
        <v>0</v>
      </c>
      <c r="R225" s="34">
        <f>+IF(YEAR(R$140)=YEAR(Assumptions!$G$30),R208,0)</f>
        <v>0</v>
      </c>
      <c r="S225" s="34">
        <f>+IF(YEAR(S$140)=YEAR(Assumptions!$G$30),S208,0)</f>
        <v>0</v>
      </c>
      <c r="T225" s="34">
        <f>+IF(YEAR(T$140)=YEAR(Assumptions!$G$30),T208,0)</f>
        <v>0</v>
      </c>
      <c r="U225" s="34">
        <f>+IF(YEAR(U$140)=YEAR(Assumptions!$G$30),U208,0)</f>
        <v>0</v>
      </c>
      <c r="V225" s="34">
        <f>+IF(YEAR(V$140)=YEAR(Assumptions!$G$30),V208,0)</f>
        <v>0</v>
      </c>
      <c r="W225" s="34">
        <f>+IF(YEAR(W$140)=YEAR(Assumptions!$G$30),W208,0)</f>
        <v>0</v>
      </c>
      <c r="X225" s="34">
        <f>+IF(YEAR(X$140)=YEAR(Assumptions!$G$30),X208,0)</f>
        <v>0</v>
      </c>
      <c r="Y225" s="34">
        <f>+IF(YEAR(Y$140)=YEAR(Assumptions!$G$30),Y208,0)</f>
        <v>0</v>
      </c>
      <c r="Z225" s="34">
        <f>+IF(YEAR(Z$140)=YEAR(Assumptions!$G$30),Z208,0)</f>
        <v>0</v>
      </c>
    </row>
    <row r="226" spans="2:26" x14ac:dyDescent="0.35">
      <c r="B226" s="33" t="s">
        <v>343</v>
      </c>
      <c r="F226" s="151">
        <f>-F225*Assumptions!$O$136</f>
        <v>0</v>
      </c>
      <c r="G226" s="151">
        <f>-G225*Assumptions!$O$136</f>
        <v>0</v>
      </c>
      <c r="H226" s="151">
        <f>-H225*Assumptions!$O$136</f>
        <v>0</v>
      </c>
      <c r="I226" s="151">
        <f>-I225*Assumptions!$O$136</f>
        <v>0</v>
      </c>
      <c r="J226" s="151">
        <f>-J225*Assumptions!$O$136</f>
        <v>0</v>
      </c>
      <c r="K226" s="151">
        <f>-K225*Assumptions!$O$136</f>
        <v>0</v>
      </c>
      <c r="L226" s="151">
        <f>-L225*Assumptions!$O$136</f>
        <v>0</v>
      </c>
      <c r="M226" s="151">
        <f>-M225*Assumptions!$O$136</f>
        <v>0</v>
      </c>
      <c r="N226" s="151">
        <f ca="1">-N225*Assumptions!$O$136</f>
        <v>-1037018.5463050216</v>
      </c>
      <c r="O226" s="151">
        <f>-O225*Assumptions!$O$136</f>
        <v>0</v>
      </c>
      <c r="P226" s="151">
        <f>-P225*Assumptions!$O$136</f>
        <v>0</v>
      </c>
      <c r="Q226" s="151">
        <f>-Q225*Assumptions!$O$136</f>
        <v>0</v>
      </c>
      <c r="R226" s="151">
        <f>-R225*Assumptions!$O$136</f>
        <v>0</v>
      </c>
      <c r="S226" s="151">
        <f>-S225*Assumptions!$O$136</f>
        <v>0</v>
      </c>
      <c r="T226" s="151">
        <f>-T225*Assumptions!$O$136</f>
        <v>0</v>
      </c>
      <c r="U226" s="151">
        <f>-U225*Assumptions!$O$136</f>
        <v>0</v>
      </c>
      <c r="V226" s="151">
        <f>-V225*Assumptions!$O$136</f>
        <v>0</v>
      </c>
      <c r="W226" s="151">
        <f>-W225*Assumptions!$O$136</f>
        <v>0</v>
      </c>
      <c r="X226" s="151">
        <f>-X225*Assumptions!$O$136</f>
        <v>0</v>
      </c>
      <c r="Y226" s="151">
        <f>-Y225*Assumptions!$O$136</f>
        <v>0</v>
      </c>
      <c r="Z226" s="151">
        <f>-Z225*Assumptions!$O$136</f>
        <v>0</v>
      </c>
    </row>
    <row r="227" spans="2:26" x14ac:dyDescent="0.35">
      <c r="B227" s="33" t="s">
        <v>344</v>
      </c>
      <c r="F227" s="151">
        <f>+IF(YEAR(F$140)=YEAR(Assumptions!$G$30),-F214,0)</f>
        <v>0</v>
      </c>
      <c r="G227" s="151">
        <f>+IF(YEAR(G$140)=YEAR(Assumptions!$G$30),-G214,0)</f>
        <v>0</v>
      </c>
      <c r="H227" s="151">
        <f>+IF(YEAR(H$140)=YEAR(Assumptions!$G$30),-H214,0)</f>
        <v>0</v>
      </c>
      <c r="I227" s="151">
        <f>+IF(YEAR(I$140)=YEAR(Assumptions!$G$30),-I214,0)</f>
        <v>0</v>
      </c>
      <c r="J227" s="151">
        <f>+IF(YEAR(J$140)=YEAR(Assumptions!$G$30),-J214,0)</f>
        <v>0</v>
      </c>
      <c r="K227" s="151">
        <f>+IF(YEAR(K$140)=YEAR(Assumptions!$G$30),-K214,0)</f>
        <v>0</v>
      </c>
      <c r="L227" s="151">
        <f>+IF(YEAR(L$140)=YEAR(Assumptions!$G$30),-L214,0)</f>
        <v>0</v>
      </c>
      <c r="M227" s="151">
        <f>+IF(YEAR(M$140)=YEAR(Assumptions!$G$30),-M214,0)</f>
        <v>0</v>
      </c>
      <c r="N227" s="151">
        <f ca="1">+IF(YEAR(N$140)=YEAR(Assumptions!$G$30),-N214,0)</f>
        <v>-38593085.568527728</v>
      </c>
      <c r="O227" s="151">
        <f>+IF(YEAR(O$140)=YEAR(Assumptions!$G$30),-O214,0)</f>
        <v>0</v>
      </c>
      <c r="P227" s="151">
        <f>+IF(YEAR(P$140)=YEAR(Assumptions!$G$30),-P214,0)</f>
        <v>0</v>
      </c>
      <c r="Q227" s="151">
        <f>+IF(YEAR(Q$140)=YEAR(Assumptions!$G$30),-Q214,0)</f>
        <v>0</v>
      </c>
      <c r="R227" s="151">
        <f>+IF(YEAR(R$140)=YEAR(Assumptions!$G$30),-R214,0)</f>
        <v>0</v>
      </c>
      <c r="S227" s="151">
        <f>+IF(YEAR(S$140)=YEAR(Assumptions!$G$30),-S214,0)</f>
        <v>0</v>
      </c>
      <c r="T227" s="151">
        <f>+IF(YEAR(T$140)=YEAR(Assumptions!$G$30),-T214,0)</f>
        <v>0</v>
      </c>
      <c r="U227" s="151">
        <f>+IF(YEAR(U$140)=YEAR(Assumptions!$G$30),-U214,0)</f>
        <v>0</v>
      </c>
      <c r="V227" s="151">
        <f>+IF(YEAR(V$140)=YEAR(Assumptions!$G$30),-V214,0)</f>
        <v>0</v>
      </c>
      <c r="W227" s="151">
        <f>+IF(YEAR(W$140)=YEAR(Assumptions!$G$30),-W214,0)</f>
        <v>0</v>
      </c>
      <c r="X227" s="151">
        <f>+IF(YEAR(X$140)=YEAR(Assumptions!$G$30),-X214,0)</f>
        <v>0</v>
      </c>
      <c r="Y227" s="151">
        <f>+IF(YEAR(Y$140)=YEAR(Assumptions!$G$30),-Y214,0)</f>
        <v>0</v>
      </c>
      <c r="Z227" s="151">
        <f>+IF(YEAR(Z$140)=YEAR(Assumptions!$G$30),-Z214,0)</f>
        <v>0</v>
      </c>
    </row>
    <row r="228" spans="2:26" x14ac:dyDescent="0.35">
      <c r="B228" s="137" t="s">
        <v>345</v>
      </c>
      <c r="C228" s="137"/>
      <c r="D228" s="137"/>
      <c r="E228" s="137"/>
      <c r="F228" s="129">
        <f t="shared" ref="F228:Z228" si="129">+SUM(F225:F227)</f>
        <v>0</v>
      </c>
      <c r="G228" s="129">
        <f t="shared" si="129"/>
        <v>0</v>
      </c>
      <c r="H228" s="129">
        <f t="shared" si="129"/>
        <v>0</v>
      </c>
      <c r="I228" s="129">
        <f t="shared" si="129"/>
        <v>0</v>
      </c>
      <c r="J228" s="129">
        <f t="shared" si="129"/>
        <v>0</v>
      </c>
      <c r="K228" s="129">
        <f t="shared" si="129"/>
        <v>0</v>
      </c>
      <c r="L228" s="129">
        <f t="shared" si="129"/>
        <v>0</v>
      </c>
      <c r="M228" s="129">
        <f t="shared" si="129"/>
        <v>0</v>
      </c>
      <c r="N228" s="129">
        <f t="shared" ca="1" si="129"/>
        <v>12220823.200418331</v>
      </c>
      <c r="O228" s="129">
        <f t="shared" si="129"/>
        <v>0</v>
      </c>
      <c r="P228" s="129">
        <f t="shared" si="129"/>
        <v>0</v>
      </c>
      <c r="Q228" s="129">
        <f t="shared" si="129"/>
        <v>0</v>
      </c>
      <c r="R228" s="129">
        <f t="shared" si="129"/>
        <v>0</v>
      </c>
      <c r="S228" s="129">
        <f t="shared" si="129"/>
        <v>0</v>
      </c>
      <c r="T228" s="129">
        <f t="shared" si="129"/>
        <v>0</v>
      </c>
      <c r="U228" s="129">
        <f t="shared" si="129"/>
        <v>0</v>
      </c>
      <c r="V228" s="129">
        <f t="shared" si="129"/>
        <v>0</v>
      </c>
      <c r="W228" s="129">
        <f t="shared" si="129"/>
        <v>0</v>
      </c>
      <c r="X228" s="129">
        <f t="shared" si="129"/>
        <v>0</v>
      </c>
      <c r="Y228" s="129">
        <f t="shared" si="129"/>
        <v>0</v>
      </c>
      <c r="Z228" s="129">
        <f t="shared" si="129"/>
        <v>0</v>
      </c>
    </row>
    <row r="230" spans="2:26" x14ac:dyDescent="0.35">
      <c r="B230" s="138" t="s">
        <v>346</v>
      </c>
      <c r="C230" s="138"/>
      <c r="D230" s="138"/>
      <c r="E230" s="138"/>
      <c r="F230" s="139">
        <f ca="1">+IF(YEAR(F$140)&lt;=YEAR(Assumptions!$G$30),'Phase II Pro Forma'!F228+'Phase II Pro Forma'!F222,0)</f>
        <v>0</v>
      </c>
      <c r="G230" s="139">
        <f ca="1">+IF(YEAR(G$140)&lt;=YEAR(Assumptions!$G$30),'Phase II Pro Forma'!G228+'Phase II Pro Forma'!G222,0)</f>
        <v>0</v>
      </c>
      <c r="H230" s="139">
        <f ca="1">+IF(YEAR(H$140)&lt;=YEAR(Assumptions!$G$30),'Phase II Pro Forma'!H228+'Phase II Pro Forma'!H222,0)</f>
        <v>0</v>
      </c>
      <c r="I230" s="139">
        <f ca="1">+IF(YEAR(I$140)&lt;=YEAR(Assumptions!$G$30),'Phase II Pro Forma'!I228+'Phase II Pro Forma'!I222,0)</f>
        <v>-1280238.3512806555</v>
      </c>
      <c r="J230" s="139">
        <f ca="1">+IF(YEAR(J$140)&lt;=YEAR(Assumptions!$G$30),'Phase II Pro Forma'!J228+'Phase II Pro Forma'!J222,0)</f>
        <v>968176.0130321132</v>
      </c>
      <c r="K230" s="139">
        <f ca="1">+IF(YEAR(K$140)&lt;=YEAR(Assumptions!$G$30),'Phase II Pro Forma'!K228+'Phase II Pro Forma'!K222,0)</f>
        <v>1200086.5750352801</v>
      </c>
      <c r="L230" s="139">
        <f ca="1">+IF(YEAR(L$140)&lt;=YEAR(Assumptions!$G$30),'Phase II Pro Forma'!L228+'Phase II Pro Forma'!L222,0)</f>
        <v>1295902.3729434507</v>
      </c>
      <c r="M230" s="139">
        <f ca="1">+IF(YEAR(M$140)&lt;=YEAR(Assumptions!$G$30),'Phase II Pro Forma'!M228+'Phase II Pro Forma'!M222,0)</f>
        <v>1368132.1230845544</v>
      </c>
      <c r="N230" s="139">
        <f ca="1">+IF(YEAR(N$140)&lt;=YEAR(Assumptions!$G$30),'Phase II Pro Forma'!N228+'Phase II Pro Forma'!N222,0)</f>
        <v>13688642.079646546</v>
      </c>
      <c r="O230" s="139">
        <f>+IF(YEAR(O$140)&lt;=YEAR(Assumptions!$G$30),'Phase II Pro Forma'!O228+'Phase II Pro Forma'!O222,0)</f>
        <v>0</v>
      </c>
      <c r="P230" s="139">
        <f>+IF(YEAR(P$140)&lt;=YEAR(Assumptions!$G$30),'Phase II Pro Forma'!P228+'Phase II Pro Forma'!P222,0)</f>
        <v>0</v>
      </c>
      <c r="Q230" s="139">
        <f>+IF(YEAR(Q$140)&lt;=YEAR(Assumptions!$G$30),'Phase II Pro Forma'!Q228+'Phase II Pro Forma'!Q222,0)</f>
        <v>0</v>
      </c>
      <c r="R230" s="139">
        <f>+IF(YEAR(R$140)&lt;=YEAR(Assumptions!$G$30),'Phase II Pro Forma'!R228+'Phase II Pro Forma'!R222,0)</f>
        <v>0</v>
      </c>
      <c r="S230" s="139">
        <f>+IF(YEAR(S$140)&lt;=YEAR(Assumptions!$G$30),'Phase II Pro Forma'!S228+'Phase II Pro Forma'!S222,0)</f>
        <v>0</v>
      </c>
      <c r="T230" s="139">
        <f>+IF(YEAR(T$140)&lt;=YEAR(Assumptions!$G$30),'Phase II Pro Forma'!T228+'Phase II Pro Forma'!T222,0)</f>
        <v>0</v>
      </c>
      <c r="U230" s="139">
        <f>+IF(YEAR(U$140)&lt;=YEAR(Assumptions!$G$30),'Phase II Pro Forma'!U228+'Phase II Pro Forma'!U222,0)</f>
        <v>0</v>
      </c>
      <c r="V230" s="139">
        <f>+IF(YEAR(V$140)&lt;=YEAR(Assumptions!$G$30),'Phase II Pro Forma'!V228+'Phase II Pro Forma'!V222,0)</f>
        <v>0</v>
      </c>
      <c r="W230" s="139">
        <f>+IF(YEAR(W$140)&lt;=YEAR(Assumptions!$G$30),'Phase II Pro Forma'!W228+'Phase II Pro Forma'!W222,0)</f>
        <v>0</v>
      </c>
      <c r="X230" s="139">
        <f>+IF(YEAR(X$140)&lt;=YEAR(Assumptions!$G$30),'Phase II Pro Forma'!X228+'Phase II Pro Forma'!X222,0)</f>
        <v>0</v>
      </c>
      <c r="Y230" s="139">
        <f>+IF(YEAR(Y$140)&lt;=YEAR(Assumptions!$G$30),'Phase II Pro Forma'!Y228+'Phase II Pro Forma'!Y222,0)</f>
        <v>0</v>
      </c>
      <c r="Z230" s="139">
        <f>+IF(YEAR(Z$140)&lt;=YEAR(Assumptions!$G$30),'Phase II Pro Forma'!Z228+'Phase II Pro Forma'!Z222,0)</f>
        <v>0</v>
      </c>
    </row>
    <row r="232" spans="2:26" x14ac:dyDescent="0.35">
      <c r="B232" s="37" t="s">
        <v>779</v>
      </c>
      <c r="C232" s="38"/>
      <c r="D232" s="38"/>
      <c r="E232" s="38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</row>
    <row r="234" spans="2:26" x14ac:dyDescent="0.35">
      <c r="B234" s="148" t="s">
        <v>238</v>
      </c>
      <c r="C234" s="149"/>
      <c r="D234" s="149"/>
      <c r="E234" s="149"/>
      <c r="F234" s="150">
        <f>+Assumptions!$G$22</f>
        <v>44926</v>
      </c>
      <c r="G234" s="150">
        <f>+EOMONTH(F234,12)</f>
        <v>45291</v>
      </c>
      <c r="H234" s="150">
        <f t="shared" ref="H234:Z234" si="130">+EOMONTH(G234,12)</f>
        <v>45657</v>
      </c>
      <c r="I234" s="150">
        <f t="shared" si="130"/>
        <v>46022</v>
      </c>
      <c r="J234" s="150">
        <f t="shared" si="130"/>
        <v>46387</v>
      </c>
      <c r="K234" s="150">
        <f t="shared" si="130"/>
        <v>46752</v>
      </c>
      <c r="L234" s="150">
        <f t="shared" si="130"/>
        <v>47118</v>
      </c>
      <c r="M234" s="150">
        <f t="shared" si="130"/>
        <v>47483</v>
      </c>
      <c r="N234" s="150">
        <f t="shared" si="130"/>
        <v>47848</v>
      </c>
      <c r="O234" s="150">
        <f t="shared" si="130"/>
        <v>48213</v>
      </c>
      <c r="P234" s="150">
        <f t="shared" si="130"/>
        <v>48579</v>
      </c>
      <c r="Q234" s="150">
        <f t="shared" si="130"/>
        <v>48944</v>
      </c>
      <c r="R234" s="150">
        <f t="shared" si="130"/>
        <v>49309</v>
      </c>
      <c r="S234" s="150">
        <f t="shared" si="130"/>
        <v>49674</v>
      </c>
      <c r="T234" s="150">
        <f t="shared" si="130"/>
        <v>50040</v>
      </c>
      <c r="U234" s="150">
        <f t="shared" si="130"/>
        <v>50405</v>
      </c>
      <c r="V234" s="150">
        <f t="shared" si="130"/>
        <v>50770</v>
      </c>
      <c r="W234" s="150">
        <f t="shared" si="130"/>
        <v>51135</v>
      </c>
      <c r="X234" s="150">
        <f t="shared" si="130"/>
        <v>51501</v>
      </c>
      <c r="Y234" s="150">
        <f t="shared" si="130"/>
        <v>51866</v>
      </c>
      <c r="Z234" s="150">
        <f t="shared" si="130"/>
        <v>52231</v>
      </c>
    </row>
    <row r="235" spans="2:26" x14ac:dyDescent="0.35">
      <c r="B235" s="33" t="s">
        <v>766</v>
      </c>
      <c r="C235" s="33"/>
      <c r="D235" s="40"/>
      <c r="E235" s="40"/>
      <c r="F235" s="42">
        <f>+IF(AND(F234&gt;=Assumptions!$G$26,F234&lt;Assumptions!$G$28),Assumptions!$G$218/ROUNDUP((Assumptions!$G$27/12),0),0)</f>
        <v>0</v>
      </c>
      <c r="G235" s="42">
        <f>+IF(AND(G234&gt;=Assumptions!$G$26,G234&lt;Assumptions!$G$28),Assumptions!$G$218/ROUNDUP((Assumptions!$G$27/12),0),0)</f>
        <v>0</v>
      </c>
      <c r="H235" s="42">
        <f>+IF(AND(H234&gt;=Assumptions!$G$26,H234&lt;Assumptions!$G$28),Assumptions!$G$218/ROUNDUP((Assumptions!$G$27/12),0),0)</f>
        <v>0</v>
      </c>
      <c r="I235" s="42">
        <f>+IF(AND(I234&gt;=Assumptions!$G$26,I234&lt;Assumptions!$G$28),Assumptions!$G$218/ROUNDUP((Assumptions!$G$27/12),0),0)</f>
        <v>4.9999999999999998E-7</v>
      </c>
      <c r="J235" s="42">
        <f>+IF(AND(J234&gt;=Assumptions!$G$26,J234&lt;Assumptions!$G$28),Assumptions!$G$218/ROUNDUP((Assumptions!$G$27/12),0),0)</f>
        <v>4.9999999999999998E-7</v>
      </c>
      <c r="K235" s="42">
        <f>+IF(AND(K234&gt;=Assumptions!$G$26,K234&lt;Assumptions!$G$28),Assumptions!$G$218/ROUNDUP((Assumptions!$G$27/12),0),0)</f>
        <v>0</v>
      </c>
      <c r="L235" s="42">
        <f>+IF(AND(L234&gt;=Assumptions!$G$26,L234&lt;Assumptions!$G$28),Assumptions!$G$218/ROUNDUP((Assumptions!$G$27/12),0),0)</f>
        <v>0</v>
      </c>
      <c r="M235" s="42">
        <f>+IF(AND(M234&gt;=Assumptions!$G$26,M234&lt;Assumptions!$G$28),Assumptions!$G$218/ROUNDUP((Assumptions!$G$27/12),0),0)</f>
        <v>0</v>
      </c>
      <c r="N235" s="42">
        <f>+IF(AND(N234&gt;=Assumptions!$G$26,N234&lt;Assumptions!$G$28),Assumptions!$G$218/ROUNDUP((Assumptions!$G$27/12),0),0)</f>
        <v>0</v>
      </c>
      <c r="O235" s="42">
        <f>+IF(AND(O234&gt;=Assumptions!$G$26,O234&lt;Assumptions!$G$28),Assumptions!$G$218/ROUNDUP((Assumptions!$G$27/12),0),0)</f>
        <v>0</v>
      </c>
      <c r="P235" s="42">
        <f>+IF(AND(P234&gt;=Assumptions!$G$26,P234&lt;Assumptions!$G$28),Assumptions!$G$218/ROUNDUP((Assumptions!$G$27/12),0),0)</f>
        <v>0</v>
      </c>
      <c r="Q235" s="42">
        <f>+IF(AND(Q234&gt;=Assumptions!$G$26,Q234&lt;Assumptions!$G$28),Assumptions!$G$218/ROUNDUP((Assumptions!$G$27/12),0),0)</f>
        <v>0</v>
      </c>
      <c r="R235" s="42">
        <f>+IF(AND(R234&gt;=Assumptions!$G$26,R234&lt;Assumptions!$G$28),Assumptions!$G$218/ROUNDUP((Assumptions!$G$27/12),0),0)</f>
        <v>0</v>
      </c>
      <c r="S235" s="42">
        <f>+IF(AND(S234&gt;=Assumptions!$G$26,S234&lt;Assumptions!$G$28),Assumptions!$G$218/ROUNDUP((Assumptions!$G$27/12),0),0)</f>
        <v>0</v>
      </c>
      <c r="T235" s="42">
        <f>+IF(AND(T234&gt;=Assumptions!$G$26,T234&lt;Assumptions!$G$28),Assumptions!$G$218/ROUNDUP((Assumptions!$G$27/12),0),0)</f>
        <v>0</v>
      </c>
      <c r="U235" s="42">
        <f>+IF(AND(U234&gt;=Assumptions!$G$26,U234&lt;Assumptions!$G$28),Assumptions!$G$218/ROUNDUP((Assumptions!$G$27/12),0),0)</f>
        <v>0</v>
      </c>
      <c r="V235" s="42">
        <f>+IF(AND(V234&gt;=Assumptions!$G$26,V234&lt;Assumptions!$G$28),Assumptions!$G$218/ROUNDUP((Assumptions!$G$27/12),0),0)</f>
        <v>0</v>
      </c>
      <c r="W235" s="42">
        <f>+IF(AND(W234&gt;=Assumptions!$G$26,W234&lt;Assumptions!$G$28),Assumptions!$G$218/ROUNDUP((Assumptions!$G$27/12),0),0)</f>
        <v>0</v>
      </c>
      <c r="X235" s="42">
        <f>+IF(AND(X234&gt;=Assumptions!$G$26,X234&lt;Assumptions!$G$28),Assumptions!$G$218/ROUNDUP((Assumptions!$G$27/12),0),0)</f>
        <v>0</v>
      </c>
      <c r="Y235" s="42">
        <f>+IF(AND(Y234&gt;=Assumptions!$G$26,Y234&lt;Assumptions!$G$28),Assumptions!$G$218/ROUNDUP((Assumptions!$G$27/12),0),0)</f>
        <v>0</v>
      </c>
      <c r="Z235" s="42">
        <f>+IF(AND(Z234&gt;=Assumptions!$G$26,Z234&lt;Assumptions!$G$28),Assumptions!$G$218/ROUNDUP((Assumptions!$G$27/12),0),0)</f>
        <v>0</v>
      </c>
    </row>
    <row r="236" spans="2:26" x14ac:dyDescent="0.35">
      <c r="B236" s="33" t="s">
        <v>249</v>
      </c>
      <c r="C236" s="33"/>
      <c r="E236" s="42">
        <v>0</v>
      </c>
      <c r="F236" s="42">
        <f>+E236+F235</f>
        <v>0</v>
      </c>
      <c r="G236" s="42">
        <f t="shared" ref="G236:Z236" si="131">+F236+G235</f>
        <v>0</v>
      </c>
      <c r="H236" s="42">
        <f t="shared" si="131"/>
        <v>0</v>
      </c>
      <c r="I236" s="42">
        <f t="shared" si="131"/>
        <v>4.9999999999999998E-7</v>
      </c>
      <c r="J236" s="42">
        <f t="shared" si="131"/>
        <v>9.9999999999999995E-7</v>
      </c>
      <c r="K236" s="42">
        <f t="shared" si="131"/>
        <v>9.9999999999999995E-7</v>
      </c>
      <c r="L236" s="42">
        <f t="shared" si="131"/>
        <v>9.9999999999999995E-7</v>
      </c>
      <c r="M236" s="42">
        <f t="shared" si="131"/>
        <v>9.9999999999999995E-7</v>
      </c>
      <c r="N236" s="42">
        <f t="shared" si="131"/>
        <v>9.9999999999999995E-7</v>
      </c>
      <c r="O236" s="42">
        <f t="shared" si="131"/>
        <v>9.9999999999999995E-7</v>
      </c>
      <c r="P236" s="42">
        <f t="shared" si="131"/>
        <v>9.9999999999999995E-7</v>
      </c>
      <c r="Q236" s="42">
        <f t="shared" si="131"/>
        <v>9.9999999999999995E-7</v>
      </c>
      <c r="R236" s="42">
        <f t="shared" si="131"/>
        <v>9.9999999999999995E-7</v>
      </c>
      <c r="S236" s="42">
        <f t="shared" si="131"/>
        <v>9.9999999999999995E-7</v>
      </c>
      <c r="T236" s="42">
        <f t="shared" si="131"/>
        <v>9.9999999999999995E-7</v>
      </c>
      <c r="U236" s="42">
        <f t="shared" si="131"/>
        <v>9.9999999999999995E-7</v>
      </c>
      <c r="V236" s="42">
        <f t="shared" si="131"/>
        <v>9.9999999999999995E-7</v>
      </c>
      <c r="W236" s="42">
        <f t="shared" si="131"/>
        <v>9.9999999999999995E-7</v>
      </c>
      <c r="X236" s="42">
        <f t="shared" si="131"/>
        <v>9.9999999999999995E-7</v>
      </c>
      <c r="Y236" s="42">
        <f t="shared" si="131"/>
        <v>9.9999999999999995E-7</v>
      </c>
      <c r="Z236" s="42">
        <f t="shared" si="131"/>
        <v>9.9999999999999995E-7</v>
      </c>
    </row>
    <row r="237" spans="2:26" x14ac:dyDescent="0.35">
      <c r="B237" s="33" t="s">
        <v>306</v>
      </c>
      <c r="C237" s="33"/>
      <c r="D237" s="42"/>
      <c r="E237" s="42"/>
      <c r="F237" s="108">
        <f t="shared" ref="F237:Z237" si="132">+F236/SUM($F235:$Z235)</f>
        <v>0</v>
      </c>
      <c r="G237" s="108">
        <f t="shared" si="132"/>
        <v>0</v>
      </c>
      <c r="H237" s="108">
        <f t="shared" si="132"/>
        <v>0</v>
      </c>
      <c r="I237" s="108">
        <f t="shared" si="132"/>
        <v>0.5</v>
      </c>
      <c r="J237" s="108">
        <f t="shared" si="132"/>
        <v>1</v>
      </c>
      <c r="K237" s="108">
        <f t="shared" si="132"/>
        <v>1</v>
      </c>
      <c r="L237" s="108">
        <f t="shared" si="132"/>
        <v>1</v>
      </c>
      <c r="M237" s="108">
        <f t="shared" si="132"/>
        <v>1</v>
      </c>
      <c r="N237" s="108">
        <f t="shared" si="132"/>
        <v>1</v>
      </c>
      <c r="O237" s="108">
        <f t="shared" si="132"/>
        <v>1</v>
      </c>
      <c r="P237" s="108">
        <f t="shared" si="132"/>
        <v>1</v>
      </c>
      <c r="Q237" s="108">
        <f t="shared" si="132"/>
        <v>1</v>
      </c>
      <c r="R237" s="108">
        <f t="shared" si="132"/>
        <v>1</v>
      </c>
      <c r="S237" s="108">
        <f t="shared" si="132"/>
        <v>1</v>
      </c>
      <c r="T237" s="108">
        <f t="shared" si="132"/>
        <v>1</v>
      </c>
      <c r="U237" s="108">
        <f t="shared" si="132"/>
        <v>1</v>
      </c>
      <c r="V237" s="108">
        <f t="shared" si="132"/>
        <v>1</v>
      </c>
      <c r="W237" s="108">
        <f t="shared" si="132"/>
        <v>1</v>
      </c>
      <c r="X237" s="108">
        <f t="shared" si="132"/>
        <v>1</v>
      </c>
      <c r="Y237" s="108">
        <f t="shared" si="132"/>
        <v>1</v>
      </c>
      <c r="Z237" s="108">
        <f t="shared" si="132"/>
        <v>1</v>
      </c>
    </row>
    <row r="238" spans="2:26" x14ac:dyDescent="0.35">
      <c r="B238" s="33"/>
      <c r="C238" s="33"/>
      <c r="D238" s="40"/>
      <c r="E238" s="40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2:26" x14ac:dyDescent="0.35">
      <c r="B239" s="33" t="s">
        <v>254</v>
      </c>
      <c r="C239" s="33"/>
      <c r="D239" s="42"/>
      <c r="E239" s="42"/>
      <c r="F239" s="108">
        <v>1</v>
      </c>
      <c r="G239" s="108">
        <f>+IF(MOD(G$2,Assumptions!$O$73)=(Assumptions!$O$73-1),F239*(1+Assumptions!$O$72),'Phase II Pro Forma'!F239)</f>
        <v>1</v>
      </c>
      <c r="H239" s="108">
        <f>+IF(MOD(H$2,Assumptions!$O$73)=(Assumptions!$O$73-1),G239*(1+Assumptions!$O$72),'Phase II Pro Forma'!G239)</f>
        <v>1</v>
      </c>
      <c r="I239" s="108">
        <f>+IF(MOD(I$2,Assumptions!$O$73)=(Assumptions!$O$73-1),H239*(1+Assumptions!$O$72),'Phase II Pro Forma'!H239)</f>
        <v>1</v>
      </c>
      <c r="J239" s="108">
        <f>+IF(MOD(J$2,Assumptions!$O$73)=(Assumptions!$O$73-1),I239*(1+Assumptions!$O$72),'Phase II Pro Forma'!I239)</f>
        <v>1</v>
      </c>
      <c r="K239" s="108">
        <f>+IF(MOD(K$2,Assumptions!$O$73)=(Assumptions!$O$73-1),J239*(1+Assumptions!$O$72),'Phase II Pro Forma'!J239)</f>
        <v>1</v>
      </c>
      <c r="L239" s="108">
        <f>+IF(MOD(L$2,Assumptions!$O$73)=(Assumptions!$O$73-1),K239*(1+Assumptions!$O$72),'Phase II Pro Forma'!K239)</f>
        <v>1.1000000000000001</v>
      </c>
      <c r="M239" s="108">
        <f>+IF(MOD(M$2,Assumptions!$O$73)=(Assumptions!$O$73-1),L239*(1+Assumptions!$O$72),'Phase II Pro Forma'!L239)</f>
        <v>1.1000000000000001</v>
      </c>
      <c r="N239" s="108">
        <f>+IF(MOD(N$2,Assumptions!$O$73)=(Assumptions!$O$73-1),M239*(1+Assumptions!$O$72),'Phase II Pro Forma'!M239)</f>
        <v>1.1000000000000001</v>
      </c>
      <c r="O239" s="108">
        <f>+IF(MOD(O$2,Assumptions!$O$73)=(Assumptions!$O$73-1),N239*(1+Assumptions!$O$72),'Phase II Pro Forma'!N239)</f>
        <v>1.1000000000000001</v>
      </c>
      <c r="P239" s="108">
        <f>+IF(MOD(P$2,Assumptions!$O$73)=(Assumptions!$O$73-1),O239*(1+Assumptions!$O$72),'Phase II Pro Forma'!O239)</f>
        <v>1.1000000000000001</v>
      </c>
      <c r="Q239" s="108">
        <f>+IF(MOD(Q$2,Assumptions!$O$73)=(Assumptions!$O$73-1),P239*(1+Assumptions!$O$72),'Phase II Pro Forma'!P239)</f>
        <v>1.2100000000000002</v>
      </c>
      <c r="R239" s="108">
        <f>+IF(MOD(R$2,Assumptions!$O$73)=(Assumptions!$O$73-1),Q239*(1+Assumptions!$O$72),'Phase II Pro Forma'!Q239)</f>
        <v>1.2100000000000002</v>
      </c>
      <c r="S239" s="108">
        <f>+IF(MOD(S$2,Assumptions!$O$73)=(Assumptions!$O$73-1),R239*(1+Assumptions!$O$72),'Phase II Pro Forma'!R239)</f>
        <v>1.2100000000000002</v>
      </c>
      <c r="T239" s="108">
        <f>+IF(MOD(T$2,Assumptions!$O$73)=(Assumptions!$O$73-1),S239*(1+Assumptions!$O$72),'Phase II Pro Forma'!S239)</f>
        <v>1.2100000000000002</v>
      </c>
      <c r="U239" s="108">
        <f>+IF(MOD(U$2,Assumptions!$O$73)=(Assumptions!$O$73-1),T239*(1+Assumptions!$O$72),'Phase II Pro Forma'!T239)</f>
        <v>1.2100000000000002</v>
      </c>
      <c r="V239" s="108">
        <f>+IF(MOD(V$2,Assumptions!$O$73)=(Assumptions!$O$73-1),U239*(1+Assumptions!$O$72),'Phase II Pro Forma'!U239)</f>
        <v>1.3310000000000004</v>
      </c>
      <c r="W239" s="108">
        <f>+IF(MOD(W$2,Assumptions!$O$73)=(Assumptions!$O$73-1),V239*(1+Assumptions!$O$72),'Phase II Pro Forma'!V239)</f>
        <v>1.3310000000000004</v>
      </c>
      <c r="X239" s="108">
        <f>+IF(MOD(X$2,Assumptions!$O$73)=(Assumptions!$O$73-1),W239*(1+Assumptions!$O$72),'Phase II Pro Forma'!W239)</f>
        <v>1.3310000000000004</v>
      </c>
      <c r="Y239" s="108">
        <f>+IF(MOD(Y$2,Assumptions!$O$73)=(Assumptions!$O$73-1),X239*(1+Assumptions!$O$72),'Phase II Pro Forma'!X239)</f>
        <v>1.3310000000000004</v>
      </c>
      <c r="Z239" s="108">
        <f>+IF(MOD(Z$2,Assumptions!$O$73)=(Assumptions!$O$73-1),Y239*(1+Assumptions!$O$72),'Phase II Pro Forma'!Y239)</f>
        <v>1.3310000000000004</v>
      </c>
    </row>
    <row r="240" spans="2:26" x14ac:dyDescent="0.35">
      <c r="B240" s="33" t="s">
        <v>255</v>
      </c>
      <c r="C240" s="33"/>
      <c r="D240" s="42"/>
      <c r="E240" s="42"/>
      <c r="F240" s="108">
        <v>1</v>
      </c>
      <c r="G240" s="108">
        <f>+F240*(1+Assumptions!$O$81)</f>
        <v>1.03</v>
      </c>
      <c r="H240" s="108">
        <f>+G240*(1+Assumptions!$O$81)</f>
        <v>1.0609</v>
      </c>
      <c r="I240" s="108">
        <f>+H240*(1+Assumptions!$O$81)</f>
        <v>1.092727</v>
      </c>
      <c r="J240" s="108">
        <f>+I240*(1+Assumptions!$O$81)</f>
        <v>1.1255088100000001</v>
      </c>
      <c r="K240" s="108">
        <f>+J240*(1+Assumptions!$O$81)</f>
        <v>1.1592740743000001</v>
      </c>
      <c r="L240" s="108">
        <f>+K240*(1+Assumptions!$O$81)</f>
        <v>1.1940522965290001</v>
      </c>
      <c r="M240" s="108">
        <f>+L240*(1+Assumptions!$O$81)</f>
        <v>1.2298738654248702</v>
      </c>
      <c r="N240" s="108">
        <f>+M240*(1+Assumptions!$O$81)</f>
        <v>1.2667700813876164</v>
      </c>
      <c r="O240" s="108">
        <f>+N240*(1+Assumptions!$O$81)</f>
        <v>1.3047731838292449</v>
      </c>
      <c r="P240" s="108">
        <f>+O240*(1+Assumptions!$O$81)</f>
        <v>1.3439163793441222</v>
      </c>
      <c r="Q240" s="108">
        <f>+P240*(1+Assumptions!$O$81)</f>
        <v>1.3842338707244459</v>
      </c>
      <c r="R240" s="108">
        <f>+Q240*(1+Assumptions!$O$81)</f>
        <v>1.4257608868461793</v>
      </c>
      <c r="S240" s="108">
        <f>+R240*(1+Assumptions!$O$81)</f>
        <v>1.4685337134515648</v>
      </c>
      <c r="T240" s="108">
        <f>+S240*(1+Assumptions!$O$81)</f>
        <v>1.5125897248551119</v>
      </c>
      <c r="U240" s="108">
        <f>+T240*(1+Assumptions!$O$81)</f>
        <v>1.5579674166007653</v>
      </c>
      <c r="V240" s="108">
        <f>+U240*(1+Assumptions!$O$81)</f>
        <v>1.6047064390987884</v>
      </c>
      <c r="W240" s="108">
        <f>+V240*(1+Assumptions!$O$81)</f>
        <v>1.652847632271752</v>
      </c>
      <c r="X240" s="108">
        <f>+W240*(1+Assumptions!$O$81)</f>
        <v>1.7024330612399046</v>
      </c>
      <c r="Y240" s="108">
        <f>+X240*(1+Assumptions!$O$81)</f>
        <v>1.7535060530771018</v>
      </c>
      <c r="Z240" s="108">
        <f>+Y240*(1+Assumptions!$O$81)</f>
        <v>1.806111234669415</v>
      </c>
    </row>
    <row r="241" spans="2:26" x14ac:dyDescent="0.35">
      <c r="B241" s="33"/>
      <c r="C241" s="33"/>
      <c r="D241" s="40"/>
      <c r="E241" s="40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2:26" x14ac:dyDescent="0.35">
      <c r="B242" s="33" t="s">
        <v>246</v>
      </c>
      <c r="C242" s="33"/>
      <c r="D242" s="40"/>
      <c r="E242" s="40"/>
      <c r="F242" s="34">
        <f>+F237*Assumptions!$G$217*F239</f>
        <v>0</v>
      </c>
      <c r="G242" s="34">
        <f>+G237*Assumptions!$G$217*G239</f>
        <v>0</v>
      </c>
      <c r="H242" s="34">
        <f>+H237*Assumptions!$G$217*H239</f>
        <v>0</v>
      </c>
      <c r="I242" s="34">
        <f>+I237*Assumptions!$G$217*I239</f>
        <v>6.2423999999999997E-6</v>
      </c>
      <c r="J242" s="34">
        <f>+J237*Assumptions!$G$217*J239</f>
        <v>1.2484799999999999E-5</v>
      </c>
      <c r="K242" s="34">
        <f>+K237*Assumptions!$G$217*K239</f>
        <v>1.2484799999999999E-5</v>
      </c>
      <c r="L242" s="34">
        <f>+L237*Assumptions!$G$217*L239</f>
        <v>1.373328E-5</v>
      </c>
      <c r="M242" s="34">
        <f>+M237*Assumptions!$G$217*M239</f>
        <v>1.373328E-5</v>
      </c>
      <c r="N242" s="34">
        <f>+N237*Assumptions!$G$217*N239</f>
        <v>1.373328E-5</v>
      </c>
      <c r="O242" s="34">
        <f>+O237*Assumptions!$G$217*O239</f>
        <v>1.373328E-5</v>
      </c>
      <c r="P242" s="34">
        <f>+P237*Assumptions!$G$217*P239</f>
        <v>1.373328E-5</v>
      </c>
      <c r="Q242" s="34">
        <f>+Q237*Assumptions!$G$217*Q239</f>
        <v>1.5106608000000002E-5</v>
      </c>
      <c r="R242" s="34">
        <f>+R237*Assumptions!$G$217*R239</f>
        <v>1.5106608000000002E-5</v>
      </c>
      <c r="S242" s="34">
        <f>+S237*Assumptions!$G$217*S239</f>
        <v>1.5106608000000002E-5</v>
      </c>
      <c r="T242" s="34">
        <f>+T237*Assumptions!$G$217*T239</f>
        <v>1.5106608000000002E-5</v>
      </c>
      <c r="U242" s="34">
        <f>+U237*Assumptions!$G$217*U239</f>
        <v>1.5106608000000002E-5</v>
      </c>
      <c r="V242" s="34">
        <f>+V237*Assumptions!$G$217*V239</f>
        <v>1.6617268800000003E-5</v>
      </c>
      <c r="W242" s="34">
        <f>+W237*Assumptions!$G$217*W239</f>
        <v>1.6617268800000003E-5</v>
      </c>
      <c r="X242" s="34">
        <f>+X237*Assumptions!$G$217*X239</f>
        <v>1.6617268800000003E-5</v>
      </c>
      <c r="Y242" s="34">
        <f>+Y237*Assumptions!$G$217*Y239</f>
        <v>1.6617268800000003E-5</v>
      </c>
      <c r="Z242" s="34">
        <f>+Z237*Assumptions!$G$217*Z239</f>
        <v>1.6617268800000003E-5</v>
      </c>
    </row>
    <row r="243" spans="2:26" x14ac:dyDescent="0.35">
      <c r="B243" s="33" t="s">
        <v>247</v>
      </c>
      <c r="C243" s="33"/>
      <c r="D243" s="40"/>
      <c r="E243" s="40"/>
      <c r="F243" s="42">
        <f>-F242*Assumptions!$O$59</f>
        <v>0</v>
      </c>
      <c r="G243" s="42">
        <f>-G242*Assumptions!$O$59</f>
        <v>0</v>
      </c>
      <c r="H243" s="42">
        <f>-H242*Assumptions!$O$59</f>
        <v>0</v>
      </c>
      <c r="I243" s="42">
        <f>-I242*Assumptions!$O$59</f>
        <v>-3.7454399999999997E-7</v>
      </c>
      <c r="J243" s="42">
        <f>-J242*Assumptions!$O$59</f>
        <v>-7.4908799999999994E-7</v>
      </c>
      <c r="K243" s="42">
        <f>-K242*Assumptions!$O$59</f>
        <v>-7.4908799999999994E-7</v>
      </c>
      <c r="L243" s="42">
        <f>-L242*Assumptions!$O$59</f>
        <v>-8.2399680000000001E-7</v>
      </c>
      <c r="M243" s="42">
        <f>-M242*Assumptions!$O$59</f>
        <v>-8.2399680000000001E-7</v>
      </c>
      <c r="N243" s="42">
        <f>-N242*Assumptions!$O$59</f>
        <v>-8.2399680000000001E-7</v>
      </c>
      <c r="O243" s="42">
        <f>-O242*Assumptions!$O$59</f>
        <v>-8.2399680000000001E-7</v>
      </c>
      <c r="P243" s="42">
        <f>-P242*Assumptions!$O$59</f>
        <v>-8.2399680000000001E-7</v>
      </c>
      <c r="Q243" s="42">
        <f>-Q242*Assumptions!$O$59</f>
        <v>-9.0639648000000006E-7</v>
      </c>
      <c r="R243" s="42">
        <f>-R242*Assumptions!$O$59</f>
        <v>-9.0639648000000006E-7</v>
      </c>
      <c r="S243" s="42">
        <f>-S242*Assumptions!$O$59</f>
        <v>-9.0639648000000006E-7</v>
      </c>
      <c r="T243" s="42">
        <f>-T242*Assumptions!$O$59</f>
        <v>-9.0639648000000006E-7</v>
      </c>
      <c r="U243" s="42">
        <f>-U242*Assumptions!$O$59</f>
        <v>-9.0639648000000006E-7</v>
      </c>
      <c r="V243" s="42">
        <f>-V242*Assumptions!$O$59</f>
        <v>-9.9703612800000013E-7</v>
      </c>
      <c r="W243" s="42">
        <f>-W242*Assumptions!$O$59</f>
        <v>-9.9703612800000013E-7</v>
      </c>
      <c r="X243" s="42">
        <f>-X242*Assumptions!$O$59</f>
        <v>-9.9703612800000013E-7</v>
      </c>
      <c r="Y243" s="42">
        <f>-Y242*Assumptions!$O$59</f>
        <v>-9.9703612800000013E-7</v>
      </c>
      <c r="Z243" s="42">
        <f>-Z242*Assumptions!$O$59</f>
        <v>-9.9703612800000013E-7</v>
      </c>
    </row>
    <row r="244" spans="2:26" x14ac:dyDescent="0.35">
      <c r="B244" s="33" t="s">
        <v>262</v>
      </c>
      <c r="C244" s="33"/>
      <c r="D244" s="40"/>
      <c r="E244" s="40"/>
      <c r="F244" s="151">
        <f ca="1">+F249*Assumptions!$O$92</f>
        <v>0</v>
      </c>
      <c r="G244" s="151">
        <f ca="1">+G249*Assumptions!$O$92</f>
        <v>0</v>
      </c>
      <c r="H244" s="151">
        <f ca="1">+H249*Assumptions!$O$92</f>
        <v>0</v>
      </c>
      <c r="I244" s="151">
        <f ca="1">+I249*Assumptions!$O$92</f>
        <v>3.223387643365895E-6</v>
      </c>
      <c r="J244" s="151">
        <f ca="1">+J249*Assumptions!$O$92</f>
        <v>6.598448255882425E-6</v>
      </c>
      <c r="K244" s="151">
        <f ca="1">+K249*Assumptions!$O$92</f>
        <v>6.6687070178378652E-6</v>
      </c>
      <c r="L244" s="151">
        <f ca="1">+L249*Assumptions!$O$92</f>
        <v>6.7410735426519677E-6</v>
      </c>
      <c r="M244" s="151">
        <f ca="1">+M249*Assumptions!$O$92</f>
        <v>6.9007408536911845E-6</v>
      </c>
      <c r="N244" s="151">
        <f ca="1">+N249*Assumptions!$O$92</f>
        <v>6.9775144998664663E-6</v>
      </c>
      <c r="O244" s="151">
        <f ca="1">+O249*Assumptions!$O$92</f>
        <v>7.0565913554270067E-6</v>
      </c>
      <c r="P244" s="151">
        <f ca="1">+P249*Assumptions!$O$92</f>
        <v>7.2248729029446647E-6</v>
      </c>
      <c r="Q244" s="151">
        <f ca="1">+Q249*Assumptions!$O$92</f>
        <v>7.3087655390088429E-6</v>
      </c>
      <c r="R244" s="151">
        <f ca="1">+R249*Assumptions!$O$92</f>
        <v>7.3951749541549455E-6</v>
      </c>
      <c r="S244" s="151">
        <f ca="1">+S249*Assumptions!$O$92</f>
        <v>7.5727456857715394E-6</v>
      </c>
      <c r="T244" s="151">
        <f ca="1">+T249*Assumptions!$O$92</f>
        <v>7.6644174343000404E-6</v>
      </c>
      <c r="U244" s="151">
        <f ca="1">+U249*Assumptions!$O$92</f>
        <v>7.7588393352843966E-6</v>
      </c>
      <c r="V244" s="151">
        <f ca="1">+V249*Assumptions!$O$92</f>
        <v>7.9464343079947139E-6</v>
      </c>
      <c r="W244" s="151">
        <f ca="1">+W249*Assumptions!$O$92</f>
        <v>8.0466065027490162E-6</v>
      </c>
      <c r="X244" s="151">
        <f ca="1">+X249*Assumptions!$O$92</f>
        <v>8.1497838633459476E-6</v>
      </c>
      <c r="Y244" s="151">
        <f ca="1">+Y249*Assumptions!$O$92</f>
        <v>8.3482037677511486E-6</v>
      </c>
      <c r="Z244" s="151">
        <f ca="1">+Z249*Assumptions!$O$92</f>
        <v>8.4576646296084329E-6</v>
      </c>
    </row>
    <row r="245" spans="2:26" x14ac:dyDescent="0.35">
      <c r="B245" s="137" t="s">
        <v>256</v>
      </c>
      <c r="C245" s="137"/>
      <c r="D245" s="137"/>
      <c r="E245" s="137"/>
      <c r="F245" s="129">
        <f t="shared" ref="F245:Z245" ca="1" si="133">+SUM(F242:F244)</f>
        <v>0</v>
      </c>
      <c r="G245" s="129">
        <f t="shared" ca="1" si="133"/>
        <v>0</v>
      </c>
      <c r="H245" s="129">
        <f t="shared" ca="1" si="133"/>
        <v>0</v>
      </c>
      <c r="I245" s="129">
        <f t="shared" ca="1" si="133"/>
        <v>9.091243643365894E-6</v>
      </c>
      <c r="J245" s="129">
        <f t="shared" ca="1" si="133"/>
        <v>1.8334160255882425E-5</v>
      </c>
      <c r="K245" s="129">
        <f t="shared" ca="1" si="133"/>
        <v>1.8404419017837865E-5</v>
      </c>
      <c r="L245" s="129">
        <f t="shared" ca="1" si="133"/>
        <v>1.965035674265197E-5</v>
      </c>
      <c r="M245" s="129">
        <f t="shared" ca="1" si="133"/>
        <v>1.9810024053691183E-5</v>
      </c>
      <c r="N245" s="129">
        <f t="shared" ca="1" si="133"/>
        <v>1.9886797699866467E-5</v>
      </c>
      <c r="O245" s="129">
        <f t="shared" ca="1" si="133"/>
        <v>1.9965874555427009E-5</v>
      </c>
      <c r="P245" s="129">
        <f t="shared" ca="1" si="133"/>
        <v>2.0134156102944665E-5</v>
      </c>
      <c r="Q245" s="129">
        <f t="shared" ca="1" si="133"/>
        <v>2.1508977059008846E-5</v>
      </c>
      <c r="R245" s="129">
        <f t="shared" ca="1" si="133"/>
        <v>2.1595386474154948E-5</v>
      </c>
      <c r="S245" s="129">
        <f t="shared" ca="1" si="133"/>
        <v>2.1772957205771542E-5</v>
      </c>
      <c r="T245" s="129">
        <f t="shared" ca="1" si="133"/>
        <v>2.1864628954300045E-5</v>
      </c>
      <c r="U245" s="129">
        <f t="shared" ca="1" si="133"/>
        <v>2.1959050855284398E-5</v>
      </c>
      <c r="V245" s="129">
        <f t="shared" ca="1" si="133"/>
        <v>2.3566666979994717E-5</v>
      </c>
      <c r="W245" s="129">
        <f t="shared" ca="1" si="133"/>
        <v>2.3666839174749018E-5</v>
      </c>
      <c r="X245" s="129">
        <f t="shared" ca="1" si="133"/>
        <v>2.3770016535345953E-5</v>
      </c>
      <c r="Y245" s="129">
        <f t="shared" ca="1" si="133"/>
        <v>2.3968436439751152E-5</v>
      </c>
      <c r="Z245" s="129">
        <f t="shared" ca="1" si="133"/>
        <v>2.4077897301608436E-5</v>
      </c>
    </row>
    <row r="247" spans="2:26" x14ac:dyDescent="0.35">
      <c r="B247" s="33" t="s">
        <v>395</v>
      </c>
      <c r="F247" s="34">
        <f>+F236*Assumptions!$O$124*'Phase II Pro Forma'!F240</f>
        <v>0</v>
      </c>
      <c r="G247" s="34">
        <f>+G236*Assumptions!$O$124*'Phase II Pro Forma'!G240</f>
        <v>0</v>
      </c>
      <c r="H247" s="34">
        <f>+H236*Assumptions!$O$124*'Phase II Pro Forma'!H240</f>
        <v>0</v>
      </c>
      <c r="I247" s="34">
        <f>+I236*Assumptions!$O$124*'Phase II Pro Forma'!I240</f>
        <v>1.1368731708000001E-6</v>
      </c>
      <c r="J247" s="34">
        <f>+J236*Assumptions!$O$124*'Phase II Pro Forma'!J240</f>
        <v>2.3419587318480004E-6</v>
      </c>
      <c r="K247" s="34">
        <f>+K236*Assumptions!$O$124*'Phase II Pro Forma'!K240</f>
        <v>2.4122174938034402E-6</v>
      </c>
      <c r="L247" s="34">
        <f>+L236*Assumptions!$O$124*'Phase II Pro Forma'!L240</f>
        <v>2.4845840186175435E-6</v>
      </c>
      <c r="M247" s="34">
        <f>+M236*Assumptions!$O$124*'Phase II Pro Forma'!M240</f>
        <v>2.5591215391760699E-6</v>
      </c>
      <c r="N247" s="34">
        <f>+N236*Assumptions!$O$124*'Phase II Pro Forma'!N240</f>
        <v>2.6358951853513521E-6</v>
      </c>
      <c r="O247" s="34">
        <f>+O236*Assumptions!$O$124*'Phase II Pro Forma'!O240</f>
        <v>2.7149720409118929E-6</v>
      </c>
      <c r="P247" s="34">
        <f>+P236*Assumptions!$O$124*'Phase II Pro Forma'!P240</f>
        <v>2.7964212021392497E-6</v>
      </c>
      <c r="Q247" s="34">
        <f>+Q236*Assumptions!$O$124*'Phase II Pro Forma'!Q240</f>
        <v>2.880313838203427E-6</v>
      </c>
      <c r="R247" s="34">
        <f>+R236*Assumptions!$O$124*'Phase II Pro Forma'!R240</f>
        <v>2.9667232533495301E-6</v>
      </c>
      <c r="S247" s="34">
        <f>+S236*Assumptions!$O$124*'Phase II Pro Forma'!S240</f>
        <v>3.055724950950016E-6</v>
      </c>
      <c r="T247" s="34">
        <f>+T236*Assumptions!$O$124*'Phase II Pro Forma'!T240</f>
        <v>3.147396699478517E-6</v>
      </c>
      <c r="U247" s="34">
        <f>+U236*Assumptions!$O$124*'Phase II Pro Forma'!U240</f>
        <v>3.2418186004628728E-6</v>
      </c>
      <c r="V247" s="34">
        <f>+V236*Assumptions!$O$124*'Phase II Pro Forma'!V240</f>
        <v>3.339073158476759E-6</v>
      </c>
      <c r="W247" s="34">
        <f>+W236*Assumptions!$O$124*'Phase II Pro Forma'!W240</f>
        <v>3.4392453532310618E-6</v>
      </c>
      <c r="X247" s="34">
        <f>+X236*Assumptions!$O$124*'Phase II Pro Forma'!X240</f>
        <v>3.5424227138279936E-6</v>
      </c>
      <c r="Y247" s="34">
        <f>+Y236*Assumptions!$O$124*'Phase II Pro Forma'!Y240</f>
        <v>3.6486953952428336E-6</v>
      </c>
      <c r="Z247" s="34">
        <f>+Z236*Assumptions!$O$124*'Phase II Pro Forma'!Z240</f>
        <v>3.7581562571001188E-6</v>
      </c>
    </row>
    <row r="248" spans="2:26" x14ac:dyDescent="0.35">
      <c r="B248" s="33" t="s">
        <v>331</v>
      </c>
      <c r="F248" s="151">
        <f ca="1">+IFERROR(INDEX('Taxes and TIF'!$AC$11:$AC$45,MATCH('Phase II Pro Forma'!F$7,'Taxes and TIF'!$R$11:$R$45,0)),0)*'Loan Sizing'!$K$52*F237</f>
        <v>0</v>
      </c>
      <c r="G248" s="151">
        <f ca="1">+IFERROR(INDEX('Taxes and TIF'!$AC$11:$AC$45,MATCH('Phase II Pro Forma'!G$7,'Taxes and TIF'!$R$11:$R$45,0)),0)*'Loan Sizing'!$K$52*G237</f>
        <v>0</v>
      </c>
      <c r="H248" s="151">
        <f ca="1">+IFERROR(INDEX('Taxes and TIF'!$AC$11:$AC$45,MATCH('Phase II Pro Forma'!H$7,'Taxes and TIF'!$R$11:$R$45,0)),0)*'Loan Sizing'!$K$52*H237</f>
        <v>0</v>
      </c>
      <c r="I248" s="151">
        <f ca="1">+IFERROR(INDEX('Taxes and TIF'!$AC$11:$AC$45,MATCH('Phase II Pro Forma'!I$7,'Taxes and TIF'!$R$11:$R$45,0)),0)*'Loan Sizing'!$K$52*I237</f>
        <v>2.0865144725658945E-6</v>
      </c>
      <c r="J248" s="151">
        <f ca="1">+IFERROR(INDEX('Taxes and TIF'!$AC$11:$AC$45,MATCH('Phase II Pro Forma'!J$7,'Taxes and TIF'!$R$11:$R$45,0)),0)*'Loan Sizing'!$K$52*J237</f>
        <v>4.2564895240344246E-6</v>
      </c>
      <c r="K248" s="151">
        <f ca="1">+IFERROR(INDEX('Taxes and TIF'!$AC$11:$AC$45,MATCH('Phase II Pro Forma'!K$7,'Taxes and TIF'!$R$11:$R$45,0)),0)*'Loan Sizing'!$K$52*K237</f>
        <v>4.2564895240344246E-6</v>
      </c>
      <c r="L248" s="151">
        <f ca="1">+IFERROR(INDEX('Taxes and TIF'!$AC$11:$AC$45,MATCH('Phase II Pro Forma'!L$7,'Taxes and TIF'!$R$11:$R$45,0)),0)*'Loan Sizing'!$K$52*L237</f>
        <v>4.2564895240344246E-6</v>
      </c>
      <c r="M248" s="151">
        <f ca="1">+IFERROR(INDEX('Taxes and TIF'!$AC$11:$AC$45,MATCH('Phase II Pro Forma'!M$7,'Taxes and TIF'!$R$11:$R$45,0)),0)*'Loan Sizing'!$K$52*M237</f>
        <v>4.3416193145151134E-6</v>
      </c>
      <c r="N248" s="151">
        <f ca="1">+IFERROR(INDEX('Taxes and TIF'!$AC$11:$AC$45,MATCH('Phase II Pro Forma'!N$7,'Taxes and TIF'!$R$11:$R$45,0)),0)*'Loan Sizing'!$K$52*N237</f>
        <v>4.3416193145151134E-6</v>
      </c>
      <c r="O248" s="151">
        <f ca="1">+IFERROR(INDEX('Taxes and TIF'!$AC$11:$AC$45,MATCH('Phase II Pro Forma'!O$7,'Taxes and TIF'!$R$11:$R$45,0)),0)*'Loan Sizing'!$K$52*O237</f>
        <v>4.3416193145151134E-6</v>
      </c>
      <c r="P248" s="151">
        <f ca="1">+IFERROR(INDEX('Taxes and TIF'!$AC$11:$AC$45,MATCH('Phase II Pro Forma'!P$7,'Taxes and TIF'!$R$11:$R$45,0)),0)*'Loan Sizing'!$K$52*P237</f>
        <v>4.4284517008054154E-6</v>
      </c>
      <c r="Q248" s="151">
        <f ca="1">+IFERROR(INDEX('Taxes and TIF'!$AC$11:$AC$45,MATCH('Phase II Pro Forma'!Q$7,'Taxes and TIF'!$R$11:$R$45,0)),0)*'Loan Sizing'!$K$52*Q237</f>
        <v>4.4284517008054154E-6</v>
      </c>
      <c r="R248" s="151">
        <f ca="1">+IFERROR(INDEX('Taxes and TIF'!$AC$11:$AC$45,MATCH('Phase II Pro Forma'!R$7,'Taxes and TIF'!$R$11:$R$45,0)),0)*'Loan Sizing'!$K$52*R237</f>
        <v>4.4284517008054154E-6</v>
      </c>
      <c r="S248" s="151">
        <f ca="1">+IFERROR(INDEX('Taxes and TIF'!$AC$11:$AC$45,MATCH('Phase II Pro Forma'!S$7,'Taxes and TIF'!$R$11:$R$45,0)),0)*'Loan Sizing'!$K$52*S237</f>
        <v>4.5170207348215239E-6</v>
      </c>
      <c r="T248" s="151">
        <f ca="1">+IFERROR(INDEX('Taxes and TIF'!$AC$11:$AC$45,MATCH('Phase II Pro Forma'!T$7,'Taxes and TIF'!$R$11:$R$45,0)),0)*'Loan Sizing'!$K$52*T237</f>
        <v>4.5170207348215239E-6</v>
      </c>
      <c r="U248" s="151">
        <f ca="1">+IFERROR(INDEX('Taxes and TIF'!$AC$11:$AC$45,MATCH('Phase II Pro Forma'!U$7,'Taxes and TIF'!$R$11:$R$45,0)),0)*'Loan Sizing'!$K$52*U237</f>
        <v>4.5170207348215239E-6</v>
      </c>
      <c r="V248" s="151">
        <f ca="1">+IFERROR(INDEX('Taxes and TIF'!$AC$11:$AC$45,MATCH('Phase II Pro Forma'!V$7,'Taxes and TIF'!$R$11:$R$45,0)),0)*'Loan Sizing'!$K$52*V237</f>
        <v>4.6073611495179553E-6</v>
      </c>
      <c r="W248" s="151">
        <f ca="1">+IFERROR(INDEX('Taxes and TIF'!$AC$11:$AC$45,MATCH('Phase II Pro Forma'!W$7,'Taxes and TIF'!$R$11:$R$45,0)),0)*'Loan Sizing'!$K$52*W237</f>
        <v>4.6073611495179553E-6</v>
      </c>
      <c r="X248" s="151">
        <f ca="1">+IFERROR(INDEX('Taxes and TIF'!$AC$11:$AC$45,MATCH('Phase II Pro Forma'!X$7,'Taxes and TIF'!$R$11:$R$45,0)),0)*'Loan Sizing'!$K$52*X237</f>
        <v>4.6073611495179553E-6</v>
      </c>
      <c r="Y248" s="151">
        <f ca="1">+IFERROR(INDEX('Taxes and TIF'!$AC$11:$AC$45,MATCH('Phase II Pro Forma'!Y$7,'Taxes and TIF'!$R$11:$R$45,0)),0)*'Loan Sizing'!$K$52*Y237</f>
        <v>4.6995083725083137E-6</v>
      </c>
      <c r="Z248" s="151">
        <f ca="1">+IFERROR(INDEX('Taxes and TIF'!$AC$11:$AC$45,MATCH('Phase II Pro Forma'!Z$7,'Taxes and TIF'!$R$11:$R$45,0)),0)*'Loan Sizing'!$K$52*Z237</f>
        <v>4.6995083725083137E-6</v>
      </c>
    </row>
    <row r="249" spans="2:26" x14ac:dyDescent="0.35">
      <c r="B249" s="137" t="s">
        <v>252</v>
      </c>
      <c r="C249" s="137"/>
      <c r="D249" s="137"/>
      <c r="E249" s="137"/>
      <c r="F249" s="129">
        <f ca="1">+SUM(F247:F248)</f>
        <v>0</v>
      </c>
      <c r="G249" s="129">
        <f t="shared" ref="G249" ca="1" si="134">+SUM(G247:G248)</f>
        <v>0</v>
      </c>
      <c r="H249" s="129">
        <f t="shared" ref="H249:Z249" ca="1" si="135">+SUM(H247:H248)</f>
        <v>0</v>
      </c>
      <c r="I249" s="129">
        <f t="shared" ca="1" si="135"/>
        <v>3.2233876433658946E-6</v>
      </c>
      <c r="J249" s="129">
        <f t="shared" ca="1" si="135"/>
        <v>6.598448255882425E-6</v>
      </c>
      <c r="K249" s="129">
        <f t="shared" ca="1" si="135"/>
        <v>6.6687070178378652E-6</v>
      </c>
      <c r="L249" s="129">
        <f t="shared" ca="1" si="135"/>
        <v>6.7410735426519677E-6</v>
      </c>
      <c r="M249" s="129">
        <f t="shared" ca="1" si="135"/>
        <v>6.9007408536911828E-6</v>
      </c>
      <c r="N249" s="129">
        <f t="shared" ca="1" si="135"/>
        <v>6.9775144998664654E-6</v>
      </c>
      <c r="O249" s="129">
        <f t="shared" ca="1" si="135"/>
        <v>7.0565913554270067E-6</v>
      </c>
      <c r="P249" s="129">
        <f t="shared" ca="1" si="135"/>
        <v>7.2248729029446647E-6</v>
      </c>
      <c r="Q249" s="129">
        <f t="shared" ca="1" si="135"/>
        <v>7.3087655390088429E-6</v>
      </c>
      <c r="R249" s="129">
        <f t="shared" ca="1" si="135"/>
        <v>7.3951749541549455E-6</v>
      </c>
      <c r="S249" s="129">
        <f t="shared" ca="1" si="135"/>
        <v>7.5727456857715394E-6</v>
      </c>
      <c r="T249" s="129">
        <f t="shared" ca="1" si="135"/>
        <v>7.6644174343000404E-6</v>
      </c>
      <c r="U249" s="129">
        <f t="shared" ca="1" si="135"/>
        <v>7.7588393352843966E-6</v>
      </c>
      <c r="V249" s="129">
        <f t="shared" ca="1" si="135"/>
        <v>7.9464343079947139E-6</v>
      </c>
      <c r="W249" s="129">
        <f t="shared" ca="1" si="135"/>
        <v>8.0466065027490179E-6</v>
      </c>
      <c r="X249" s="129">
        <f t="shared" ca="1" si="135"/>
        <v>8.1497838633459493E-6</v>
      </c>
      <c r="Y249" s="129">
        <f t="shared" ca="1" si="135"/>
        <v>8.3482037677511469E-6</v>
      </c>
      <c r="Z249" s="129">
        <f t="shared" ca="1" si="135"/>
        <v>8.4576646296084329E-6</v>
      </c>
    </row>
    <row r="250" spans="2:26" x14ac:dyDescent="0.35">
      <c r="B250" s="33"/>
    </row>
    <row r="251" spans="2:26" x14ac:dyDescent="0.35">
      <c r="B251" s="138" t="s">
        <v>251</v>
      </c>
      <c r="C251" s="138"/>
      <c r="D251" s="138"/>
      <c r="E251" s="138"/>
      <c r="F251" s="139">
        <f ca="1">+F245-F249</f>
        <v>0</v>
      </c>
      <c r="G251" s="139">
        <f t="shared" ref="G251:Z251" ca="1" si="136">+G245-G249</f>
        <v>0</v>
      </c>
      <c r="H251" s="139">
        <f t="shared" ca="1" si="136"/>
        <v>0</v>
      </c>
      <c r="I251" s="139">
        <f t="shared" ca="1" si="136"/>
        <v>5.8678559999999998E-6</v>
      </c>
      <c r="J251" s="139">
        <f t="shared" ca="1" si="136"/>
        <v>1.1735712E-5</v>
      </c>
      <c r="K251" s="139">
        <f t="shared" ca="1" si="136"/>
        <v>1.1735712E-5</v>
      </c>
      <c r="L251" s="139">
        <f t="shared" ca="1" si="136"/>
        <v>1.2909283200000002E-5</v>
      </c>
      <c r="M251" s="139">
        <f t="shared" ca="1" si="136"/>
        <v>1.29092832E-5</v>
      </c>
      <c r="N251" s="139">
        <f t="shared" ca="1" si="136"/>
        <v>1.2909283200000002E-5</v>
      </c>
      <c r="O251" s="139">
        <f t="shared" ca="1" si="136"/>
        <v>1.2909283200000002E-5</v>
      </c>
      <c r="P251" s="139">
        <f t="shared" ca="1" si="136"/>
        <v>1.29092832E-5</v>
      </c>
      <c r="Q251" s="139">
        <f t="shared" ca="1" si="136"/>
        <v>1.4200211520000003E-5</v>
      </c>
      <c r="R251" s="139">
        <f t="shared" ca="1" si="136"/>
        <v>1.4200211520000001E-5</v>
      </c>
      <c r="S251" s="139">
        <f t="shared" ca="1" si="136"/>
        <v>1.4200211520000003E-5</v>
      </c>
      <c r="T251" s="139">
        <f t="shared" ca="1" si="136"/>
        <v>1.4200211520000005E-5</v>
      </c>
      <c r="U251" s="139">
        <f t="shared" ca="1" si="136"/>
        <v>1.4200211520000001E-5</v>
      </c>
      <c r="V251" s="139">
        <f t="shared" ca="1" si="136"/>
        <v>1.5620232672000003E-5</v>
      </c>
      <c r="W251" s="139">
        <f t="shared" ca="1" si="136"/>
        <v>1.5620232672E-5</v>
      </c>
      <c r="X251" s="139">
        <f t="shared" ca="1" si="136"/>
        <v>1.5620232672000003E-5</v>
      </c>
      <c r="Y251" s="139">
        <f t="shared" ca="1" si="136"/>
        <v>1.5620232672000003E-5</v>
      </c>
      <c r="Z251" s="139">
        <f t="shared" ca="1" si="136"/>
        <v>1.5620232672000003E-5</v>
      </c>
    </row>
    <row r="252" spans="2:26" x14ac:dyDescent="0.35">
      <c r="B252" s="143" t="s">
        <v>257</v>
      </c>
      <c r="C252" s="141"/>
      <c r="D252" s="141"/>
      <c r="E252" s="141"/>
      <c r="F252" s="144" t="str">
        <f ca="1">+IFERROR(F251/F245,"")</f>
        <v/>
      </c>
      <c r="G252" s="144" t="str">
        <f t="shared" ref="G252:Z252" ca="1" si="137">+IFERROR(G251/G245,"")</f>
        <v/>
      </c>
      <c r="H252" s="144" t="str">
        <f t="shared" ca="1" si="137"/>
        <v/>
      </c>
      <c r="I252" s="145">
        <f t="shared" ca="1" si="137"/>
        <v>0.64544040729586205</v>
      </c>
      <c r="J252" s="145">
        <f t="shared" ca="1" si="137"/>
        <v>0.64010087379020564</v>
      </c>
      <c r="K252" s="145">
        <f t="shared" ca="1" si="137"/>
        <v>0.63765729244838187</v>
      </c>
      <c r="L252" s="145">
        <f t="shared" ca="1" si="137"/>
        <v>0.65694905029280359</v>
      </c>
      <c r="M252" s="145">
        <f t="shared" ca="1" si="137"/>
        <v>0.6516540901218455</v>
      </c>
      <c r="N252" s="145">
        <f t="shared" ca="1" si="137"/>
        <v>0.64913835776016782</v>
      </c>
      <c r="O252" s="145">
        <f t="shared" ca="1" si="137"/>
        <v>0.64656737996438407</v>
      </c>
      <c r="P252" s="145">
        <f t="shared" ca="1" si="137"/>
        <v>0.64116336110615479</v>
      </c>
      <c r="Q252" s="145">
        <f t="shared" ca="1" si="137"/>
        <v>0.66019929637018093</v>
      </c>
      <c r="R252" s="145">
        <f t="shared" ca="1" si="137"/>
        <v>0.65755764718518062</v>
      </c>
      <c r="S252" s="145">
        <f t="shared" ca="1" si="137"/>
        <v>0.65219489414308096</v>
      </c>
      <c r="T252" s="145">
        <f t="shared" ca="1" si="137"/>
        <v>0.64946043903513373</v>
      </c>
      <c r="U252" s="145">
        <f t="shared" ca="1" si="137"/>
        <v>0.64666781882254032</v>
      </c>
      <c r="V252" s="145">
        <f t="shared" ca="1" si="137"/>
        <v>0.66281042988640326</v>
      </c>
      <c r="W252" s="145">
        <f t="shared" ca="1" si="137"/>
        <v>0.66000502038589826</v>
      </c>
      <c r="X252" s="145">
        <f t="shared" ca="1" si="137"/>
        <v>0.65714016853007895</v>
      </c>
      <c r="Y252" s="145">
        <f t="shared" ca="1" si="137"/>
        <v>0.65170011032067876</v>
      </c>
      <c r="Z252" s="145">
        <f t="shared" ca="1" si="137"/>
        <v>0.64873740743783925</v>
      </c>
    </row>
    <row r="253" spans="2:26" x14ac:dyDescent="0.35">
      <c r="B253" s="143" t="s">
        <v>191</v>
      </c>
      <c r="C253" s="141"/>
      <c r="D253" s="141"/>
      <c r="E253" s="141"/>
      <c r="F253" s="142">
        <f ca="1">+F251/Assumptions!$O$134</f>
        <v>0</v>
      </c>
      <c r="G253" s="142">
        <f ca="1">+G251/Assumptions!$O$134</f>
        <v>0</v>
      </c>
      <c r="H253" s="142">
        <f ca="1">+H251/Assumptions!$O$134</f>
        <v>0</v>
      </c>
      <c r="I253" s="142">
        <f ca="1">+I251/Assumptions!$O$134</f>
        <v>1.066882909090909E-4</v>
      </c>
      <c r="J253" s="142">
        <f ca="1">+J251/Assumptions!$O$134</f>
        <v>2.1337658181818181E-4</v>
      </c>
      <c r="K253" s="142">
        <f ca="1">+K251/Assumptions!$O$134</f>
        <v>2.1337658181818181E-4</v>
      </c>
      <c r="L253" s="142">
        <f ca="1">+L251/Assumptions!$O$134</f>
        <v>2.3471424000000003E-4</v>
      </c>
      <c r="M253" s="142">
        <f ca="1">+M251/Assumptions!$O$134</f>
        <v>2.3471424000000001E-4</v>
      </c>
      <c r="N253" s="142">
        <f ca="1">+N251/Assumptions!$O$134</f>
        <v>2.3471424000000003E-4</v>
      </c>
      <c r="O253" s="142">
        <f ca="1">+O251/Assumptions!$O$134</f>
        <v>2.3471424000000003E-4</v>
      </c>
      <c r="P253" s="142">
        <f ca="1">+P251/Assumptions!$O$134</f>
        <v>2.3471424000000001E-4</v>
      </c>
      <c r="Q253" s="142">
        <f ca="1">+Q251/Assumptions!$O$134</f>
        <v>2.5818566400000003E-4</v>
      </c>
      <c r="R253" s="142">
        <f ca="1">+R251/Assumptions!$O$134</f>
        <v>2.5818566400000003E-4</v>
      </c>
      <c r="S253" s="142">
        <f ca="1">+S251/Assumptions!$O$134</f>
        <v>2.5818566400000003E-4</v>
      </c>
      <c r="T253" s="142">
        <f ca="1">+T251/Assumptions!$O$134</f>
        <v>2.5818566400000008E-4</v>
      </c>
      <c r="U253" s="142">
        <f ca="1">+U251/Assumptions!$O$134</f>
        <v>2.5818566400000003E-4</v>
      </c>
      <c r="V253" s="142">
        <f ca="1">+V251/Assumptions!$O$134</f>
        <v>2.8400423040000005E-4</v>
      </c>
      <c r="W253" s="142">
        <f ca="1">+W251/Assumptions!$O$134</f>
        <v>2.840042304E-4</v>
      </c>
      <c r="X253" s="142">
        <f ca="1">+X251/Assumptions!$O$134</f>
        <v>2.8400423040000005E-4</v>
      </c>
      <c r="Y253" s="142">
        <f ca="1">+Y251/Assumptions!$O$134</f>
        <v>2.8400423040000005E-4</v>
      </c>
      <c r="Z253" s="142">
        <f ca="1">+Z251/Assumptions!$O$134</f>
        <v>2.8400423040000005E-4</v>
      </c>
    </row>
    <row r="255" spans="2:26" x14ac:dyDescent="0.35">
      <c r="B255" s="148" t="s">
        <v>31</v>
      </c>
      <c r="F255" s="150">
        <f>+Assumptions!$G$22</f>
        <v>44926</v>
      </c>
      <c r="G255" s="150">
        <f>+EOMONTH(F255,12)</f>
        <v>45291</v>
      </c>
      <c r="H255" s="150">
        <f t="shared" ref="H255:Z255" si="138">+EOMONTH(G255,12)</f>
        <v>45657</v>
      </c>
      <c r="I255" s="150">
        <f t="shared" si="138"/>
        <v>46022</v>
      </c>
      <c r="J255" s="150">
        <f t="shared" si="138"/>
        <v>46387</v>
      </c>
      <c r="K255" s="150">
        <f t="shared" si="138"/>
        <v>46752</v>
      </c>
      <c r="L255" s="150">
        <f t="shared" si="138"/>
        <v>47118</v>
      </c>
      <c r="M255" s="150">
        <f t="shared" si="138"/>
        <v>47483</v>
      </c>
      <c r="N255" s="150">
        <f t="shared" si="138"/>
        <v>47848</v>
      </c>
      <c r="O255" s="150">
        <f t="shared" si="138"/>
        <v>48213</v>
      </c>
      <c r="P255" s="150">
        <f t="shared" si="138"/>
        <v>48579</v>
      </c>
      <c r="Q255" s="150">
        <f t="shared" si="138"/>
        <v>48944</v>
      </c>
      <c r="R255" s="150">
        <f t="shared" si="138"/>
        <v>49309</v>
      </c>
      <c r="S255" s="150">
        <f t="shared" si="138"/>
        <v>49674</v>
      </c>
      <c r="T255" s="150">
        <f t="shared" si="138"/>
        <v>50040</v>
      </c>
      <c r="U255" s="150">
        <f t="shared" si="138"/>
        <v>50405</v>
      </c>
      <c r="V255" s="150">
        <f t="shared" si="138"/>
        <v>50770</v>
      </c>
      <c r="W255" s="150">
        <f t="shared" si="138"/>
        <v>51135</v>
      </c>
      <c r="X255" s="150">
        <f t="shared" si="138"/>
        <v>51501</v>
      </c>
      <c r="Y255" s="150">
        <f t="shared" si="138"/>
        <v>51866</v>
      </c>
      <c r="Z255" s="150">
        <f t="shared" si="138"/>
        <v>52231</v>
      </c>
    </row>
    <row r="256" spans="2:26" x14ac:dyDescent="0.35">
      <c r="B256" s="33" t="s">
        <v>337</v>
      </c>
      <c r="F256" s="34">
        <v>0</v>
      </c>
      <c r="G256" s="34">
        <f t="shared" ref="G256:Z256" si="139">+F259</f>
        <v>0</v>
      </c>
      <c r="H256" s="34">
        <f t="shared" si="139"/>
        <v>0</v>
      </c>
      <c r="I256" s="34">
        <f t="shared" si="139"/>
        <v>0</v>
      </c>
      <c r="J256" s="34">
        <f t="shared" ca="1" si="139"/>
        <v>1.6003243636363636E-4</v>
      </c>
      <c r="K256" s="34">
        <f t="shared" ca="1" si="139"/>
        <v>1.6003243636363636E-4</v>
      </c>
      <c r="L256" s="34">
        <f t="shared" ca="1" si="139"/>
        <v>1.6003243636363636E-4</v>
      </c>
      <c r="M256" s="34">
        <f t="shared" ca="1" si="139"/>
        <v>1.6003243636363636E-4</v>
      </c>
      <c r="N256" s="34">
        <f t="shared" ca="1" si="139"/>
        <v>1.6003243636363636E-4</v>
      </c>
      <c r="O256" s="34">
        <f t="shared" ca="1" si="139"/>
        <v>1.6003243636363636E-4</v>
      </c>
      <c r="P256" s="34">
        <f t="shared" ca="1" si="139"/>
        <v>1.6003243636363636E-4</v>
      </c>
      <c r="Q256" s="34">
        <f t="shared" ca="1" si="139"/>
        <v>1.6003243636363636E-4</v>
      </c>
      <c r="R256" s="34">
        <f t="shared" ca="1" si="139"/>
        <v>1.6003243636363636E-4</v>
      </c>
      <c r="S256" s="34">
        <f t="shared" ca="1" si="139"/>
        <v>1.6003243636363636E-4</v>
      </c>
      <c r="T256" s="34">
        <f t="shared" ca="1" si="139"/>
        <v>1.6003243636363636E-4</v>
      </c>
      <c r="U256" s="34">
        <f t="shared" ca="1" si="139"/>
        <v>1.6003243636363636E-4</v>
      </c>
      <c r="V256" s="34">
        <f t="shared" ca="1" si="139"/>
        <v>1.6003243636363636E-4</v>
      </c>
      <c r="W256" s="34">
        <f t="shared" ca="1" si="139"/>
        <v>1.6003243636363636E-4</v>
      </c>
      <c r="X256" s="34">
        <f t="shared" ca="1" si="139"/>
        <v>1.6003243636363636E-4</v>
      </c>
      <c r="Y256" s="34">
        <f t="shared" ca="1" si="139"/>
        <v>1.6003243636363636E-4</v>
      </c>
      <c r="Z256" s="34">
        <f t="shared" ca="1" si="139"/>
        <v>1.6003243636363636E-4</v>
      </c>
    </row>
    <row r="257" spans="2:26" x14ac:dyDescent="0.35">
      <c r="B257" s="33" t="s">
        <v>348</v>
      </c>
      <c r="F257" s="151">
        <f>+IF(YEAR(F$140)=YEAR(Assumptions!$G$26),'S&amp;U'!$S$19,0)</f>
        <v>0</v>
      </c>
      <c r="G257" s="151">
        <f>+IF(YEAR(G$140)=YEAR(Assumptions!$G$26),'S&amp;U'!$S$19,0)</f>
        <v>0</v>
      </c>
      <c r="H257" s="151">
        <f>+IF(YEAR(H$140)=YEAR(Assumptions!$G$26),'S&amp;U'!$S$19,0)</f>
        <v>0</v>
      </c>
      <c r="I257" s="151">
        <f ca="1">+IF(YEAR(I$140)=YEAR(Assumptions!$G$26),'S&amp;U'!$S$19,0)</f>
        <v>1.6003243636363636E-4</v>
      </c>
      <c r="J257" s="151">
        <f>+IF(YEAR(J$140)=YEAR(Assumptions!$G$26),'S&amp;U'!$S$19,0)</f>
        <v>0</v>
      </c>
      <c r="K257" s="151">
        <f>+IF(YEAR(K$140)=YEAR(Assumptions!$G$26),'S&amp;U'!$S$19,0)</f>
        <v>0</v>
      </c>
      <c r="L257" s="151">
        <f>+IF(YEAR(L$140)=YEAR(Assumptions!$G$26),'S&amp;U'!$S$19,0)</f>
        <v>0</v>
      </c>
      <c r="M257" s="151">
        <f>+IF(YEAR(M$140)=YEAR(Assumptions!$G$26),'S&amp;U'!$S$19,0)</f>
        <v>0</v>
      </c>
      <c r="N257" s="151">
        <f>+IF(YEAR(N$140)=YEAR(Assumptions!$G$26),'S&amp;U'!$S$19,0)</f>
        <v>0</v>
      </c>
      <c r="O257" s="151">
        <f>+IF(YEAR(O$140)=YEAR(Assumptions!$G$26),'S&amp;U'!$S$19,0)</f>
        <v>0</v>
      </c>
      <c r="P257" s="151">
        <f>+IF(YEAR(P$140)=YEAR(Assumptions!$G$26),'S&amp;U'!$S$19,0)</f>
        <v>0</v>
      </c>
      <c r="Q257" s="151">
        <f>+IF(YEAR(Q$140)=YEAR(Assumptions!$G$26),'S&amp;U'!$S$19,0)</f>
        <v>0</v>
      </c>
      <c r="R257" s="151">
        <f>+IF(YEAR(R$140)=YEAR(Assumptions!$G$26),'S&amp;U'!$S$19,0)</f>
        <v>0</v>
      </c>
      <c r="S257" s="151">
        <f>+IF(YEAR(S$140)=YEAR(Assumptions!$G$26),'S&amp;U'!$S$19,0)</f>
        <v>0</v>
      </c>
      <c r="T257" s="151">
        <f>+IF(YEAR(T$140)=YEAR(Assumptions!$G$26),'S&amp;U'!$S$19,0)</f>
        <v>0</v>
      </c>
      <c r="U257" s="151">
        <f>+IF(YEAR(U$140)=YEAR(Assumptions!$G$26),'S&amp;U'!$S$19,0)</f>
        <v>0</v>
      </c>
      <c r="V257" s="151">
        <f>+IF(YEAR(V$140)=YEAR(Assumptions!$G$26),'S&amp;U'!$S$19,0)</f>
        <v>0</v>
      </c>
      <c r="W257" s="151">
        <f>+IF(YEAR(W$140)=YEAR(Assumptions!$G$26),'S&amp;U'!$S$19,0)</f>
        <v>0</v>
      </c>
      <c r="X257" s="151">
        <f>+IF(YEAR(X$140)=YEAR(Assumptions!$G$26),'S&amp;U'!$S$19,0)</f>
        <v>0</v>
      </c>
      <c r="Y257" s="151">
        <f>+IF(YEAR(Y$140)=YEAR(Assumptions!$G$26),'S&amp;U'!$S$19,0)</f>
        <v>0</v>
      </c>
      <c r="Z257" s="151">
        <f>+IF(YEAR(Z$140)=YEAR(Assumptions!$G$26),'S&amp;U'!$S$19,0)</f>
        <v>0</v>
      </c>
    </row>
    <row r="258" spans="2:26" x14ac:dyDescent="0.35">
      <c r="B258" s="33" t="s">
        <v>165</v>
      </c>
      <c r="F258" s="151">
        <v>0</v>
      </c>
      <c r="G258" s="151">
        <v>0</v>
      </c>
      <c r="H258" s="151">
        <v>0</v>
      </c>
      <c r="I258" s="151">
        <v>0</v>
      </c>
      <c r="J258" s="151">
        <v>0</v>
      </c>
      <c r="K258" s="151">
        <v>0</v>
      </c>
      <c r="L258" s="151">
        <v>0</v>
      </c>
      <c r="M258" s="151">
        <v>0</v>
      </c>
      <c r="N258" s="151">
        <v>0</v>
      </c>
      <c r="O258" s="151">
        <v>0</v>
      </c>
      <c r="P258" s="151">
        <v>0</v>
      </c>
      <c r="Q258" s="151">
        <v>0</v>
      </c>
      <c r="R258" s="151">
        <v>0</v>
      </c>
      <c r="S258" s="151">
        <v>0</v>
      </c>
      <c r="T258" s="151">
        <v>0</v>
      </c>
      <c r="U258" s="151">
        <v>0</v>
      </c>
      <c r="V258" s="151">
        <v>0</v>
      </c>
      <c r="W258" s="151">
        <v>0</v>
      </c>
      <c r="X258" s="151">
        <v>0</v>
      </c>
      <c r="Y258" s="151">
        <v>0</v>
      </c>
      <c r="Z258" s="151">
        <v>0</v>
      </c>
    </row>
    <row r="259" spans="2:26" x14ac:dyDescent="0.35">
      <c r="B259" s="33" t="s">
        <v>339</v>
      </c>
      <c r="F259" s="151">
        <f t="shared" ref="F259:N259" si="140">+SUM(F256:F258)</f>
        <v>0</v>
      </c>
      <c r="G259" s="151">
        <f t="shared" si="140"/>
        <v>0</v>
      </c>
      <c r="H259" s="151">
        <f t="shared" si="140"/>
        <v>0</v>
      </c>
      <c r="I259" s="151">
        <f t="shared" ca="1" si="140"/>
        <v>1.6003243636363636E-4</v>
      </c>
      <c r="J259" s="151">
        <f t="shared" ca="1" si="140"/>
        <v>1.6003243636363636E-4</v>
      </c>
      <c r="K259" s="151">
        <f t="shared" ca="1" si="140"/>
        <v>1.6003243636363636E-4</v>
      </c>
      <c r="L259" s="151">
        <f t="shared" ca="1" si="140"/>
        <v>1.6003243636363636E-4</v>
      </c>
      <c r="M259" s="151">
        <f t="shared" ca="1" si="140"/>
        <v>1.6003243636363636E-4</v>
      </c>
      <c r="N259" s="151">
        <f t="shared" ca="1" si="140"/>
        <v>1.6003243636363636E-4</v>
      </c>
      <c r="O259" s="151">
        <f t="shared" ref="O259" ca="1" si="141">+SUM(O256:O258)</f>
        <v>1.6003243636363636E-4</v>
      </c>
      <c r="P259" s="151">
        <f t="shared" ref="P259:Z259" ca="1" si="142">+SUM(P256:P258)</f>
        <v>1.6003243636363636E-4</v>
      </c>
      <c r="Q259" s="151">
        <f t="shared" ca="1" si="142"/>
        <v>1.6003243636363636E-4</v>
      </c>
      <c r="R259" s="151">
        <f t="shared" ca="1" si="142"/>
        <v>1.6003243636363636E-4</v>
      </c>
      <c r="S259" s="151">
        <f t="shared" ca="1" si="142"/>
        <v>1.6003243636363636E-4</v>
      </c>
      <c r="T259" s="151">
        <f t="shared" ca="1" si="142"/>
        <v>1.6003243636363636E-4</v>
      </c>
      <c r="U259" s="151">
        <f t="shared" ca="1" si="142"/>
        <v>1.6003243636363636E-4</v>
      </c>
      <c r="V259" s="151">
        <f t="shared" ca="1" si="142"/>
        <v>1.6003243636363636E-4</v>
      </c>
      <c r="W259" s="151">
        <f t="shared" ca="1" si="142"/>
        <v>1.6003243636363636E-4</v>
      </c>
      <c r="X259" s="151">
        <f t="shared" ca="1" si="142"/>
        <v>1.6003243636363636E-4</v>
      </c>
      <c r="Y259" s="151">
        <f t="shared" ca="1" si="142"/>
        <v>1.6003243636363636E-4</v>
      </c>
      <c r="Z259" s="151">
        <f t="shared" ca="1" si="142"/>
        <v>1.6003243636363636E-4</v>
      </c>
    </row>
    <row r="261" spans="2:26" x14ac:dyDescent="0.35">
      <c r="B261" s="41" t="s">
        <v>338</v>
      </c>
      <c r="F261" s="34">
        <f>+F259*Assumptions!$O$163</f>
        <v>0</v>
      </c>
      <c r="G261" s="34">
        <f>+G259*Assumptions!$O$163</f>
        <v>0</v>
      </c>
      <c r="H261" s="34">
        <f>+H259*Assumptions!$O$163</f>
        <v>0</v>
      </c>
      <c r="I261" s="34">
        <f ca="1">+I259*Assumptions!$O$163</f>
        <v>8.8017840000000006E-6</v>
      </c>
      <c r="J261" s="34">
        <f ca="1">+J259*Assumptions!$O$163</f>
        <v>8.8017840000000006E-6</v>
      </c>
      <c r="K261" s="34">
        <f ca="1">+K259*Assumptions!$O$163</f>
        <v>8.8017840000000006E-6</v>
      </c>
      <c r="L261" s="34">
        <f ca="1">+L259*Assumptions!$O$163</f>
        <v>8.8017840000000006E-6</v>
      </c>
      <c r="M261" s="34">
        <f ca="1">+M259*Assumptions!$O$163</f>
        <v>8.8017840000000006E-6</v>
      </c>
      <c r="N261" s="34">
        <f ca="1">+N259*Assumptions!$O$163</f>
        <v>8.8017840000000006E-6</v>
      </c>
      <c r="O261" s="34">
        <f ca="1">+O259*Assumptions!$O$163</f>
        <v>8.8017840000000006E-6</v>
      </c>
      <c r="P261" s="34">
        <f ca="1">+P259*Assumptions!$O$163</f>
        <v>8.8017840000000006E-6</v>
      </c>
      <c r="Q261" s="34">
        <f ca="1">+Q259*Assumptions!$O$163</f>
        <v>8.8017840000000006E-6</v>
      </c>
      <c r="R261" s="34">
        <f ca="1">+R259*Assumptions!$O$163</f>
        <v>8.8017840000000006E-6</v>
      </c>
      <c r="S261" s="34">
        <f ca="1">+S259*Assumptions!$O$163</f>
        <v>8.8017840000000006E-6</v>
      </c>
      <c r="T261" s="34">
        <f ca="1">+T259*Assumptions!$O$163</f>
        <v>8.8017840000000006E-6</v>
      </c>
      <c r="U261" s="34">
        <f ca="1">+U259*Assumptions!$O$163</f>
        <v>8.8017840000000006E-6</v>
      </c>
      <c r="V261" s="34">
        <f ca="1">+V259*Assumptions!$O$163</f>
        <v>8.8017840000000006E-6</v>
      </c>
      <c r="W261" s="34">
        <f ca="1">+W259*Assumptions!$O$163</f>
        <v>8.8017840000000006E-6</v>
      </c>
      <c r="X261" s="34">
        <f ca="1">+X259*Assumptions!$O$163</f>
        <v>8.8017840000000006E-6</v>
      </c>
      <c r="Y261" s="34">
        <f ca="1">+Y259*Assumptions!$O$163</f>
        <v>8.8017840000000006E-6</v>
      </c>
      <c r="Z261" s="34">
        <f ca="1">+Z259*Assumptions!$O$163</f>
        <v>8.8017840000000006E-6</v>
      </c>
    </row>
    <row r="262" spans="2:26" x14ac:dyDescent="0.35">
      <c r="B262" s="137" t="s">
        <v>347</v>
      </c>
      <c r="C262" s="137"/>
      <c r="D262" s="137"/>
      <c r="E262" s="137"/>
      <c r="F262" s="129">
        <f t="shared" ref="F262:K262" si="143">+F261-F258</f>
        <v>0</v>
      </c>
      <c r="G262" s="129">
        <f t="shared" si="143"/>
        <v>0</v>
      </c>
      <c r="H262" s="129">
        <f t="shared" si="143"/>
        <v>0</v>
      </c>
      <c r="I262" s="129">
        <f t="shared" ca="1" si="143"/>
        <v>8.8017840000000006E-6</v>
      </c>
      <c r="J262" s="129">
        <f t="shared" ca="1" si="143"/>
        <v>8.8017840000000006E-6</v>
      </c>
      <c r="K262" s="129">
        <f t="shared" ca="1" si="143"/>
        <v>8.8017840000000006E-6</v>
      </c>
      <c r="L262" s="129">
        <f ca="1">+L261-L258</f>
        <v>8.8017840000000006E-6</v>
      </c>
      <c r="M262" s="129">
        <f t="shared" ref="M262:Z262" ca="1" si="144">+M261-M258</f>
        <v>8.8017840000000006E-6</v>
      </c>
      <c r="N262" s="129">
        <f t="shared" ca="1" si="144"/>
        <v>8.8017840000000006E-6</v>
      </c>
      <c r="O262" s="129">
        <f t="shared" ca="1" si="144"/>
        <v>8.8017840000000006E-6</v>
      </c>
      <c r="P262" s="129">
        <f t="shared" ca="1" si="144"/>
        <v>8.8017840000000006E-6</v>
      </c>
      <c r="Q262" s="129">
        <f t="shared" ca="1" si="144"/>
        <v>8.8017840000000006E-6</v>
      </c>
      <c r="R262" s="129">
        <f t="shared" ca="1" si="144"/>
        <v>8.8017840000000006E-6</v>
      </c>
      <c r="S262" s="129">
        <f t="shared" ca="1" si="144"/>
        <v>8.8017840000000006E-6</v>
      </c>
      <c r="T262" s="129">
        <f t="shared" ca="1" si="144"/>
        <v>8.8017840000000006E-6</v>
      </c>
      <c r="U262" s="129">
        <f t="shared" ca="1" si="144"/>
        <v>8.8017840000000006E-6</v>
      </c>
      <c r="V262" s="129">
        <f t="shared" ca="1" si="144"/>
        <v>8.8017840000000006E-6</v>
      </c>
      <c r="W262" s="129">
        <f t="shared" ca="1" si="144"/>
        <v>8.8017840000000006E-6</v>
      </c>
      <c r="X262" s="129">
        <f t="shared" ca="1" si="144"/>
        <v>8.8017840000000006E-6</v>
      </c>
      <c r="Y262" s="129">
        <f t="shared" ca="1" si="144"/>
        <v>8.8017840000000006E-6</v>
      </c>
      <c r="Z262" s="129">
        <f t="shared" ca="1" si="144"/>
        <v>8.8017840000000006E-6</v>
      </c>
    </row>
    <row r="263" spans="2:26" x14ac:dyDescent="0.35">
      <c r="B263" s="146" t="s">
        <v>184</v>
      </c>
      <c r="F263" s="180" t="str">
        <f t="shared" ref="F263:J263" ca="1" si="145">+IFERROR(F251/F262,"")</f>
        <v/>
      </c>
      <c r="G263" s="180" t="str">
        <f t="shared" ca="1" si="145"/>
        <v/>
      </c>
      <c r="H263" s="180" t="str">
        <f t="shared" ca="1" si="145"/>
        <v/>
      </c>
      <c r="I263" s="180">
        <f t="shared" ca="1" si="145"/>
        <v>0.66666666666666663</v>
      </c>
      <c r="J263" s="180">
        <f t="shared" ca="1" si="145"/>
        <v>1.3333333333333333</v>
      </c>
      <c r="K263" s="180">
        <f ca="1">+IFERROR(K251/K262,"")</f>
        <v>1.3333333333333333</v>
      </c>
      <c r="L263" s="180">
        <f t="shared" ref="L263:Z263" ca="1" si="146">+IFERROR(L251/L262,"")</f>
        <v>1.4666666666666668</v>
      </c>
      <c r="M263" s="180">
        <f t="shared" ca="1" si="146"/>
        <v>1.4666666666666666</v>
      </c>
      <c r="N263" s="180">
        <f t="shared" ca="1" si="146"/>
        <v>1.4666666666666668</v>
      </c>
      <c r="O263" s="180">
        <f t="shared" ca="1" si="146"/>
        <v>1.4666666666666668</v>
      </c>
      <c r="P263" s="180">
        <f t="shared" ca="1" si="146"/>
        <v>1.4666666666666666</v>
      </c>
      <c r="Q263" s="180">
        <f t="shared" ca="1" si="146"/>
        <v>1.6133333333333335</v>
      </c>
      <c r="R263" s="180">
        <f t="shared" ca="1" si="146"/>
        <v>1.6133333333333333</v>
      </c>
      <c r="S263" s="180">
        <f t="shared" ca="1" si="146"/>
        <v>1.6133333333333335</v>
      </c>
      <c r="T263" s="180">
        <f t="shared" ca="1" si="146"/>
        <v>1.6133333333333337</v>
      </c>
      <c r="U263" s="180">
        <f t="shared" ca="1" si="146"/>
        <v>1.6133333333333333</v>
      </c>
      <c r="V263" s="180">
        <f t="shared" ca="1" si="146"/>
        <v>1.7746666666666668</v>
      </c>
      <c r="W263" s="180">
        <f t="shared" ca="1" si="146"/>
        <v>1.7746666666666666</v>
      </c>
      <c r="X263" s="180">
        <f t="shared" ca="1" si="146"/>
        <v>1.7746666666666668</v>
      </c>
      <c r="Y263" s="180">
        <f t="shared" ca="1" si="146"/>
        <v>1.7746666666666668</v>
      </c>
      <c r="Z263" s="180">
        <f t="shared" ca="1" si="146"/>
        <v>1.7746666666666668</v>
      </c>
    </row>
    <row r="265" spans="2:26" x14ac:dyDescent="0.35">
      <c r="B265" s="41" t="s">
        <v>159</v>
      </c>
      <c r="F265" s="34">
        <f>+F257*Assumptions!$O$164</f>
        <v>0</v>
      </c>
      <c r="G265" s="34">
        <f>+G257*Assumptions!$O$164</f>
        <v>0</v>
      </c>
      <c r="H265" s="34">
        <f>+H257*Assumptions!$O$164</f>
        <v>0</v>
      </c>
      <c r="I265" s="34">
        <f ca="1">+I257*Assumptions!$O$164</f>
        <v>1.2002432727272727E-6</v>
      </c>
      <c r="J265" s="34">
        <f>+J257*Assumptions!$O$164</f>
        <v>0</v>
      </c>
      <c r="K265" s="34">
        <f>+K257*Assumptions!$O$164</f>
        <v>0</v>
      </c>
      <c r="L265" s="34">
        <f>+L257*Assumptions!$O$164</f>
        <v>0</v>
      </c>
      <c r="M265" s="34">
        <f>+M257*Assumptions!$O$164</f>
        <v>0</v>
      </c>
      <c r="N265" s="34">
        <f>+N257*Assumptions!$O$164</f>
        <v>0</v>
      </c>
      <c r="O265" s="34">
        <f>+O257*Assumptions!$O$164</f>
        <v>0</v>
      </c>
      <c r="P265" s="34">
        <f>+P257*Assumptions!$O$164</f>
        <v>0</v>
      </c>
      <c r="Q265" s="34">
        <f>+Q257*Assumptions!$O$164</f>
        <v>0</v>
      </c>
      <c r="R265" s="34">
        <f>+R257*Assumptions!$O$164</f>
        <v>0</v>
      </c>
      <c r="S265" s="34">
        <f>+S257*Assumptions!$O$164</f>
        <v>0</v>
      </c>
      <c r="T265" s="34">
        <f>+T257*Assumptions!$O$164</f>
        <v>0</v>
      </c>
      <c r="U265" s="34">
        <f>+U257*Assumptions!$O$164</f>
        <v>0</v>
      </c>
      <c r="V265" s="34">
        <f>+V257*Assumptions!$O$164</f>
        <v>0</v>
      </c>
      <c r="W265" s="34">
        <f>+W257*Assumptions!$O$164</f>
        <v>0</v>
      </c>
      <c r="X265" s="34">
        <f>+X257*Assumptions!$O$164</f>
        <v>0</v>
      </c>
      <c r="Y265" s="34">
        <f>+Y257*Assumptions!$O$164</f>
        <v>0</v>
      </c>
      <c r="Z265" s="34">
        <f>+Z257*Assumptions!$O$164</f>
        <v>0</v>
      </c>
    </row>
    <row r="267" spans="2:26" x14ac:dyDescent="0.35">
      <c r="B267" s="137" t="s">
        <v>340</v>
      </c>
      <c r="C267" s="137"/>
      <c r="D267" s="137"/>
      <c r="E267" s="137"/>
      <c r="F267" s="129">
        <f ca="1">+F251-F262-F265</f>
        <v>0</v>
      </c>
      <c r="G267" s="129">
        <f t="shared" ref="G267:Z267" ca="1" si="147">+G251-G262-G265</f>
        <v>0</v>
      </c>
      <c r="H267" s="129">
        <f t="shared" ca="1" si="147"/>
        <v>0</v>
      </c>
      <c r="I267" s="129">
        <f t="shared" ca="1" si="147"/>
        <v>-4.1341712727272736E-6</v>
      </c>
      <c r="J267" s="129">
        <f t="shared" ca="1" si="147"/>
        <v>2.9339279999999991E-6</v>
      </c>
      <c r="K267" s="129">
        <f t="shared" ca="1" si="147"/>
        <v>2.9339279999999991E-6</v>
      </c>
      <c r="L267" s="129">
        <f t="shared" ca="1" si="147"/>
        <v>4.1074992000000014E-6</v>
      </c>
      <c r="M267" s="129">
        <f t="shared" ca="1" si="147"/>
        <v>4.1074991999999997E-6</v>
      </c>
      <c r="N267" s="129">
        <f t="shared" ca="1" si="147"/>
        <v>4.1074992000000014E-6</v>
      </c>
      <c r="O267" s="129">
        <f t="shared" ca="1" si="147"/>
        <v>4.1074992000000014E-6</v>
      </c>
      <c r="P267" s="129">
        <f t="shared" ca="1" si="147"/>
        <v>4.1074991999999997E-6</v>
      </c>
      <c r="Q267" s="129">
        <f t="shared" ca="1" si="147"/>
        <v>5.3984275200000023E-6</v>
      </c>
      <c r="R267" s="129">
        <f t="shared" ca="1" si="147"/>
        <v>5.3984275200000006E-6</v>
      </c>
      <c r="S267" s="129">
        <f t="shared" ca="1" si="147"/>
        <v>5.3984275200000023E-6</v>
      </c>
      <c r="T267" s="129">
        <f t="shared" ca="1" si="147"/>
        <v>5.398427520000004E-6</v>
      </c>
      <c r="U267" s="129">
        <f t="shared" ca="1" si="147"/>
        <v>5.3984275200000006E-6</v>
      </c>
      <c r="V267" s="129">
        <f t="shared" ca="1" si="147"/>
        <v>6.8184486720000027E-6</v>
      </c>
      <c r="W267" s="129">
        <f t="shared" ca="1" si="147"/>
        <v>6.8184486719999993E-6</v>
      </c>
      <c r="X267" s="129">
        <f t="shared" ca="1" si="147"/>
        <v>6.8184486720000027E-6</v>
      </c>
      <c r="Y267" s="129">
        <f t="shared" ca="1" si="147"/>
        <v>6.8184486720000027E-6</v>
      </c>
      <c r="Z267" s="129">
        <f t="shared" ca="1" si="147"/>
        <v>6.8184486720000027E-6</v>
      </c>
    </row>
    <row r="269" spans="2:26" x14ac:dyDescent="0.35">
      <c r="B269" s="148" t="s">
        <v>349</v>
      </c>
    </row>
    <row r="270" spans="2:26" x14ac:dyDescent="0.35">
      <c r="B270" s="33" t="s">
        <v>342</v>
      </c>
      <c r="F270" s="34">
        <f>+IF(YEAR(F$140)=YEAR(Assumptions!$G$30),F253,0)</f>
        <v>0</v>
      </c>
      <c r="G270" s="34">
        <f>+IF(YEAR(G$140)=YEAR(Assumptions!$G$30),G253,0)</f>
        <v>0</v>
      </c>
      <c r="H270" s="34">
        <f>+IF(YEAR(H$140)=YEAR(Assumptions!$G$30),H253,0)</f>
        <v>0</v>
      </c>
      <c r="I270" s="34">
        <f>+IF(YEAR(I$140)=YEAR(Assumptions!$G$30),I253,0)</f>
        <v>0</v>
      </c>
      <c r="J270" s="34">
        <f>+IF(YEAR(J$140)=YEAR(Assumptions!$G$30),J253,0)</f>
        <v>0</v>
      </c>
      <c r="K270" s="34">
        <f>+IF(YEAR(K$140)=YEAR(Assumptions!$G$30),K253,0)</f>
        <v>0</v>
      </c>
      <c r="L270" s="34">
        <f>+IF(YEAR(L$140)=YEAR(Assumptions!$G$30),L253,0)</f>
        <v>0</v>
      </c>
      <c r="M270" s="34">
        <f>+IF(YEAR(M$140)=YEAR(Assumptions!$G$30),M253,0)</f>
        <v>0</v>
      </c>
      <c r="N270" s="34">
        <f ca="1">+IF(YEAR(N$140)=YEAR(Assumptions!$G$30),N253,0)</f>
        <v>2.3471424000000003E-4</v>
      </c>
      <c r="O270" s="34">
        <f>+IF(YEAR(O$140)=YEAR(Assumptions!$G$30),O253,0)</f>
        <v>0</v>
      </c>
      <c r="P270" s="34">
        <f>+IF(YEAR(P$140)=YEAR(Assumptions!$G$30),P253,0)</f>
        <v>0</v>
      </c>
      <c r="Q270" s="34">
        <f>+IF(YEAR(Q$140)=YEAR(Assumptions!$G$30),Q253,0)</f>
        <v>0</v>
      </c>
      <c r="R270" s="34">
        <f>+IF(YEAR(R$140)=YEAR(Assumptions!$G$30),R253,0)</f>
        <v>0</v>
      </c>
      <c r="S270" s="34">
        <f>+IF(YEAR(S$140)=YEAR(Assumptions!$G$30),S253,0)</f>
        <v>0</v>
      </c>
      <c r="T270" s="34">
        <f>+IF(YEAR(T$140)=YEAR(Assumptions!$G$30),T253,0)</f>
        <v>0</v>
      </c>
      <c r="U270" s="34">
        <f>+IF(YEAR(U$140)=YEAR(Assumptions!$G$30),U253,0)</f>
        <v>0</v>
      </c>
      <c r="V270" s="34">
        <f>+IF(YEAR(V$140)=YEAR(Assumptions!$G$30),V253,0)</f>
        <v>0</v>
      </c>
      <c r="W270" s="34">
        <f>+IF(YEAR(W$140)=YEAR(Assumptions!$G$30),W253,0)</f>
        <v>0</v>
      </c>
      <c r="X270" s="34">
        <f>+IF(YEAR(X$140)=YEAR(Assumptions!$G$30),X253,0)</f>
        <v>0</v>
      </c>
      <c r="Y270" s="34">
        <f>+IF(YEAR(Y$140)=YEAR(Assumptions!$G$30),Y253,0)</f>
        <v>0</v>
      </c>
      <c r="Z270" s="34">
        <f>+IF(YEAR(Z$140)=YEAR(Assumptions!$G$30),Z253,0)</f>
        <v>0</v>
      </c>
    </row>
    <row r="271" spans="2:26" x14ac:dyDescent="0.35">
      <c r="B271" s="33" t="s">
        <v>343</v>
      </c>
      <c r="F271" s="151">
        <f>-F270*Assumptions!$O$136</f>
        <v>0</v>
      </c>
      <c r="G271" s="151">
        <f>-G270*Assumptions!$O$136</f>
        <v>0</v>
      </c>
      <c r="H271" s="151">
        <f>-H270*Assumptions!$O$136</f>
        <v>0</v>
      </c>
      <c r="I271" s="151">
        <f>-I270*Assumptions!$O$136</f>
        <v>0</v>
      </c>
      <c r="J271" s="151">
        <f>-J270*Assumptions!$O$136</f>
        <v>0</v>
      </c>
      <c r="K271" s="151">
        <f>-K270*Assumptions!$O$136</f>
        <v>0</v>
      </c>
      <c r="L271" s="151">
        <f>-L270*Assumptions!$O$136</f>
        <v>0</v>
      </c>
      <c r="M271" s="151">
        <f>-M270*Assumptions!$O$136</f>
        <v>0</v>
      </c>
      <c r="N271" s="151">
        <f ca="1">-N270*Assumptions!$O$136</f>
        <v>-4.6942848000000009E-6</v>
      </c>
      <c r="O271" s="151">
        <f>-O270*Assumptions!$O$136</f>
        <v>0</v>
      </c>
      <c r="P271" s="151">
        <f>-P270*Assumptions!$O$136</f>
        <v>0</v>
      </c>
      <c r="Q271" s="151">
        <f>-Q270*Assumptions!$O$136</f>
        <v>0</v>
      </c>
      <c r="R271" s="151">
        <f>-R270*Assumptions!$O$136</f>
        <v>0</v>
      </c>
      <c r="S271" s="151">
        <f>-S270*Assumptions!$O$136</f>
        <v>0</v>
      </c>
      <c r="T271" s="151">
        <f>-T270*Assumptions!$O$136</f>
        <v>0</v>
      </c>
      <c r="U271" s="151">
        <f>-U270*Assumptions!$O$136</f>
        <v>0</v>
      </c>
      <c r="V271" s="151">
        <f>-V270*Assumptions!$O$136</f>
        <v>0</v>
      </c>
      <c r="W271" s="151">
        <f>-W270*Assumptions!$O$136</f>
        <v>0</v>
      </c>
      <c r="X271" s="151">
        <f>-X270*Assumptions!$O$136</f>
        <v>0</v>
      </c>
      <c r="Y271" s="151">
        <f>-Y270*Assumptions!$O$136</f>
        <v>0</v>
      </c>
      <c r="Z271" s="151">
        <f>-Z270*Assumptions!$O$136</f>
        <v>0</v>
      </c>
    </row>
    <row r="272" spans="2:26" x14ac:dyDescent="0.35">
      <c r="B272" s="33" t="s">
        <v>344</v>
      </c>
      <c r="F272" s="151">
        <f>+IF(YEAR(F$140)=YEAR(Assumptions!$G$30),-F259,0)</f>
        <v>0</v>
      </c>
      <c r="G272" s="151">
        <f>+IF(YEAR(G$140)=YEAR(Assumptions!$G$30),-G259,0)</f>
        <v>0</v>
      </c>
      <c r="H272" s="151">
        <f>+IF(YEAR(H$140)=YEAR(Assumptions!$G$30),-H259,0)</f>
        <v>0</v>
      </c>
      <c r="I272" s="151">
        <f>+IF(YEAR(I$140)=YEAR(Assumptions!$G$30),-I259,0)</f>
        <v>0</v>
      </c>
      <c r="J272" s="151">
        <f>+IF(YEAR(J$140)=YEAR(Assumptions!$G$30),-J259,0)</f>
        <v>0</v>
      </c>
      <c r="K272" s="151">
        <f>+IF(YEAR(K$140)=YEAR(Assumptions!$G$30),-K259,0)</f>
        <v>0</v>
      </c>
      <c r="L272" s="151">
        <f>+IF(YEAR(L$140)=YEAR(Assumptions!$G$30),-L259,0)</f>
        <v>0</v>
      </c>
      <c r="M272" s="151">
        <f>+IF(YEAR(M$140)=YEAR(Assumptions!$G$30),-M259,0)</f>
        <v>0</v>
      </c>
      <c r="N272" s="151">
        <f ca="1">+IF(YEAR(N$140)=YEAR(Assumptions!$G$30),-N259,0)</f>
        <v>-1.6003243636363636E-4</v>
      </c>
      <c r="O272" s="151">
        <f>+IF(YEAR(O$140)=YEAR(Assumptions!$G$30),-O259,0)</f>
        <v>0</v>
      </c>
      <c r="P272" s="151">
        <f>+IF(YEAR(P$140)=YEAR(Assumptions!$G$30),-P259,0)</f>
        <v>0</v>
      </c>
      <c r="Q272" s="151">
        <f>+IF(YEAR(Q$140)=YEAR(Assumptions!$G$30),-Q259,0)</f>
        <v>0</v>
      </c>
      <c r="R272" s="151">
        <f>+IF(YEAR(R$140)=YEAR(Assumptions!$G$30),-R259,0)</f>
        <v>0</v>
      </c>
      <c r="S272" s="151">
        <f>+IF(YEAR(S$140)=YEAR(Assumptions!$G$30),-S259,0)</f>
        <v>0</v>
      </c>
      <c r="T272" s="151">
        <f>+IF(YEAR(T$140)=YEAR(Assumptions!$G$30),-T259,0)</f>
        <v>0</v>
      </c>
      <c r="U272" s="151">
        <f>+IF(YEAR(U$140)=YEAR(Assumptions!$G$30),-U259,0)</f>
        <v>0</v>
      </c>
      <c r="V272" s="151">
        <f>+IF(YEAR(V$140)=YEAR(Assumptions!$G$30),-V259,0)</f>
        <v>0</v>
      </c>
      <c r="W272" s="151">
        <f>+IF(YEAR(W$140)=YEAR(Assumptions!$G$30),-W259,0)</f>
        <v>0</v>
      </c>
      <c r="X272" s="151">
        <f>+IF(YEAR(X$140)=YEAR(Assumptions!$G$30),-X259,0)</f>
        <v>0</v>
      </c>
      <c r="Y272" s="151">
        <f>+IF(YEAR(Y$140)=YEAR(Assumptions!$G$30),-Y259,0)</f>
        <v>0</v>
      </c>
      <c r="Z272" s="151">
        <f>+IF(YEAR(Z$140)=YEAR(Assumptions!$G$30),-Z259,0)</f>
        <v>0</v>
      </c>
    </row>
    <row r="273" spans="2:26" x14ac:dyDescent="0.35">
      <c r="B273" s="137" t="s">
        <v>345</v>
      </c>
      <c r="C273" s="137"/>
      <c r="D273" s="137"/>
      <c r="E273" s="137"/>
      <c r="F273" s="129">
        <f t="shared" ref="F273:Z273" si="148">+SUM(F270:F272)</f>
        <v>0</v>
      </c>
      <c r="G273" s="129">
        <f t="shared" si="148"/>
        <v>0</v>
      </c>
      <c r="H273" s="129">
        <f t="shared" si="148"/>
        <v>0</v>
      </c>
      <c r="I273" s="129">
        <f t="shared" si="148"/>
        <v>0</v>
      </c>
      <c r="J273" s="129">
        <f t="shared" si="148"/>
        <v>0</v>
      </c>
      <c r="K273" s="129">
        <f t="shared" si="148"/>
        <v>0</v>
      </c>
      <c r="L273" s="129">
        <f t="shared" si="148"/>
        <v>0</v>
      </c>
      <c r="M273" s="129">
        <f t="shared" si="148"/>
        <v>0</v>
      </c>
      <c r="N273" s="129">
        <f t="shared" ca="1" si="148"/>
        <v>6.9987518836363662E-5</v>
      </c>
      <c r="O273" s="129">
        <f t="shared" si="148"/>
        <v>0</v>
      </c>
      <c r="P273" s="129">
        <f t="shared" si="148"/>
        <v>0</v>
      </c>
      <c r="Q273" s="129">
        <f t="shared" si="148"/>
        <v>0</v>
      </c>
      <c r="R273" s="129">
        <f t="shared" si="148"/>
        <v>0</v>
      </c>
      <c r="S273" s="129">
        <f t="shared" si="148"/>
        <v>0</v>
      </c>
      <c r="T273" s="129">
        <f t="shared" si="148"/>
        <v>0</v>
      </c>
      <c r="U273" s="129">
        <f t="shared" si="148"/>
        <v>0</v>
      </c>
      <c r="V273" s="129">
        <f t="shared" si="148"/>
        <v>0</v>
      </c>
      <c r="W273" s="129">
        <f t="shared" si="148"/>
        <v>0</v>
      </c>
      <c r="X273" s="129">
        <f t="shared" si="148"/>
        <v>0</v>
      </c>
      <c r="Y273" s="129">
        <f t="shared" si="148"/>
        <v>0</v>
      </c>
      <c r="Z273" s="129">
        <f t="shared" si="148"/>
        <v>0</v>
      </c>
    </row>
    <row r="275" spans="2:26" x14ac:dyDescent="0.35">
      <c r="B275" s="138" t="s">
        <v>346</v>
      </c>
      <c r="C275" s="138"/>
      <c r="D275" s="138"/>
      <c r="E275" s="138"/>
      <c r="F275" s="139">
        <f ca="1">+IF(YEAR(F$140)&lt;=YEAR(Assumptions!$G$30),'Phase II Pro Forma'!F273+'Phase II Pro Forma'!F267,0)</f>
        <v>0</v>
      </c>
      <c r="G275" s="139">
        <f ca="1">+IF(YEAR(G$140)&lt;=YEAR(Assumptions!$G$30),'Phase II Pro Forma'!G273+'Phase II Pro Forma'!G267,0)</f>
        <v>0</v>
      </c>
      <c r="H275" s="139">
        <f ca="1">+IF(YEAR(H$140)&lt;=YEAR(Assumptions!$G$30),'Phase II Pro Forma'!H273+'Phase II Pro Forma'!H267,0)</f>
        <v>0</v>
      </c>
      <c r="I275" s="139">
        <f ca="1">+IF(YEAR(I$140)&lt;=YEAR(Assumptions!$G$30),'Phase II Pro Forma'!I273+'Phase II Pro Forma'!I267,0)</f>
        <v>-4.1341712727272736E-6</v>
      </c>
      <c r="J275" s="139">
        <f ca="1">+IF(YEAR(J$140)&lt;=YEAR(Assumptions!$G$30),'Phase II Pro Forma'!J273+'Phase II Pro Forma'!J267,0)</f>
        <v>2.9339279999999991E-6</v>
      </c>
      <c r="K275" s="139">
        <f ca="1">+IF(YEAR(K$140)&lt;=YEAR(Assumptions!$G$30),'Phase II Pro Forma'!K273+'Phase II Pro Forma'!K267,0)</f>
        <v>2.9339279999999991E-6</v>
      </c>
      <c r="L275" s="139">
        <f ca="1">+IF(YEAR(L$140)&lt;=YEAR(Assumptions!$G$30),'Phase II Pro Forma'!L273+'Phase II Pro Forma'!L267,0)</f>
        <v>4.1074992000000014E-6</v>
      </c>
      <c r="M275" s="139">
        <f ca="1">+IF(YEAR(M$140)&lt;=YEAR(Assumptions!$G$30),'Phase II Pro Forma'!M273+'Phase II Pro Forma'!M267,0)</f>
        <v>4.1074991999999997E-6</v>
      </c>
      <c r="N275" s="139">
        <f ca="1">+IF(YEAR(N$140)&lt;=YEAR(Assumptions!$G$30),'Phase II Pro Forma'!N273+'Phase II Pro Forma'!N267,0)</f>
        <v>7.4095018036363664E-5</v>
      </c>
      <c r="O275" s="139">
        <f>+IF(YEAR(O$140)&lt;=YEAR(Assumptions!$G$30),'Phase II Pro Forma'!O273+'Phase II Pro Forma'!O267,0)</f>
        <v>0</v>
      </c>
      <c r="P275" s="139">
        <f>+IF(YEAR(P$140)&lt;=YEAR(Assumptions!$G$30),'Phase II Pro Forma'!P273+'Phase II Pro Forma'!P267,0)</f>
        <v>0</v>
      </c>
      <c r="Q275" s="139">
        <f>+IF(YEAR(Q$140)&lt;=YEAR(Assumptions!$G$30),'Phase II Pro Forma'!Q273+'Phase II Pro Forma'!Q267,0)</f>
        <v>0</v>
      </c>
      <c r="R275" s="139">
        <f>+IF(YEAR(R$140)&lt;=YEAR(Assumptions!$G$30),'Phase II Pro Forma'!R273+'Phase II Pro Forma'!R267,0)</f>
        <v>0</v>
      </c>
      <c r="S275" s="139">
        <f>+IF(YEAR(S$140)&lt;=YEAR(Assumptions!$G$30),'Phase II Pro Forma'!S273+'Phase II Pro Forma'!S267,0)</f>
        <v>0</v>
      </c>
      <c r="T275" s="139">
        <f>+IF(YEAR(T$140)&lt;=YEAR(Assumptions!$G$30),'Phase II Pro Forma'!T273+'Phase II Pro Forma'!T267,0)</f>
        <v>0</v>
      </c>
      <c r="U275" s="139">
        <f>+IF(YEAR(U$140)&lt;=YEAR(Assumptions!$G$30),'Phase II Pro Forma'!U273+'Phase II Pro Forma'!U267,0)</f>
        <v>0</v>
      </c>
      <c r="V275" s="139">
        <f>+IF(YEAR(V$140)&lt;=YEAR(Assumptions!$G$30),'Phase II Pro Forma'!V273+'Phase II Pro Forma'!V267,0)</f>
        <v>0</v>
      </c>
      <c r="W275" s="139">
        <f>+IF(YEAR(W$140)&lt;=YEAR(Assumptions!$G$30),'Phase II Pro Forma'!W273+'Phase II Pro Forma'!W267,0)</f>
        <v>0</v>
      </c>
      <c r="X275" s="139">
        <f>+IF(YEAR(X$140)&lt;=YEAR(Assumptions!$G$30),'Phase II Pro Forma'!X273+'Phase II Pro Forma'!X267,0)</f>
        <v>0</v>
      </c>
      <c r="Y275" s="139">
        <f>+IF(YEAR(Y$140)&lt;=YEAR(Assumptions!$G$30),'Phase II Pro Forma'!Y273+'Phase II Pro Forma'!Y267,0)</f>
        <v>0</v>
      </c>
      <c r="Z275" s="139">
        <f>+IF(YEAR(Z$140)&lt;=YEAR(Assumptions!$G$30),'Phase II Pro Forma'!Z273+'Phase II Pro Forma'!Z267,0)</f>
        <v>0</v>
      </c>
    </row>
    <row r="277" spans="2:26" x14ac:dyDescent="0.35">
      <c r="B277" s="138" t="s">
        <v>362</v>
      </c>
      <c r="C277" s="138"/>
      <c r="D277" s="138"/>
      <c r="E277" s="138"/>
      <c r="F277" s="139">
        <f t="shared" ref="F277:Z277" ca="1" si="149">+F275+F230+F162</f>
        <v>0</v>
      </c>
      <c r="G277" s="139">
        <f t="shared" ca="1" si="149"/>
        <v>0</v>
      </c>
      <c r="H277" s="139">
        <f t="shared" ca="1" si="149"/>
        <v>0</v>
      </c>
      <c r="I277" s="139">
        <f t="shared" ca="1" si="149"/>
        <v>18907188.828211531</v>
      </c>
      <c r="J277" s="139">
        <f t="shared" ca="1" si="149"/>
        <v>3047194.9531564033</v>
      </c>
      <c r="K277" s="139">
        <f t="shared" ca="1" si="149"/>
        <v>3480773.6680041822</v>
      </c>
      <c r="L277" s="139">
        <f t="shared" ca="1" si="149"/>
        <v>4385732.7590233833</v>
      </c>
      <c r="M277" s="139">
        <f t="shared" ca="1" si="149"/>
        <v>4624966.840634143</v>
      </c>
      <c r="N277" s="139">
        <f t="shared" ca="1" si="149"/>
        <v>114506835.95042831</v>
      </c>
      <c r="O277" s="139">
        <f t="shared" si="149"/>
        <v>0</v>
      </c>
      <c r="P277" s="139">
        <f t="shared" si="149"/>
        <v>0</v>
      </c>
      <c r="Q277" s="139">
        <f t="shared" si="149"/>
        <v>0</v>
      </c>
      <c r="R277" s="139">
        <f t="shared" si="149"/>
        <v>0</v>
      </c>
      <c r="S277" s="139">
        <f t="shared" si="149"/>
        <v>0</v>
      </c>
      <c r="T277" s="139">
        <f t="shared" si="149"/>
        <v>0</v>
      </c>
      <c r="U277" s="139">
        <f t="shared" si="149"/>
        <v>0</v>
      </c>
      <c r="V277" s="139">
        <f t="shared" si="149"/>
        <v>0</v>
      </c>
      <c r="W277" s="139">
        <f t="shared" si="149"/>
        <v>0</v>
      </c>
      <c r="X277" s="139">
        <f t="shared" si="149"/>
        <v>0</v>
      </c>
      <c r="Y277" s="139">
        <f t="shared" si="149"/>
        <v>0</v>
      </c>
      <c r="Z277" s="139">
        <f t="shared" si="149"/>
        <v>0</v>
      </c>
    </row>
    <row r="279" spans="2:26" x14ac:dyDescent="0.35">
      <c r="B279" s="41" t="s">
        <v>448</v>
      </c>
      <c r="F279" s="34">
        <f ca="1">+F156+F300</f>
        <v>0</v>
      </c>
      <c r="G279" s="34">
        <f t="shared" ref="G279:Z279" ca="1" si="150">+G156+G300</f>
        <v>73584749.05218038</v>
      </c>
      <c r="H279" s="34">
        <f t="shared" ca="1" si="150"/>
        <v>59461237.342041403</v>
      </c>
      <c r="I279" s="34">
        <f t="shared" ca="1" si="150"/>
        <v>24678113.534651399</v>
      </c>
      <c r="J279" s="34">
        <f t="shared" ca="1" si="150"/>
        <v>0</v>
      </c>
      <c r="K279" s="34">
        <f t="shared" ca="1" si="150"/>
        <v>0</v>
      </c>
      <c r="L279" s="34">
        <f t="shared" ca="1" si="150"/>
        <v>0</v>
      </c>
      <c r="M279" s="34">
        <f t="shared" ca="1" si="150"/>
        <v>0</v>
      </c>
      <c r="N279" s="34">
        <f t="shared" ca="1" si="150"/>
        <v>0</v>
      </c>
      <c r="O279" s="34">
        <f t="shared" ca="1" si="150"/>
        <v>0</v>
      </c>
      <c r="P279" s="34">
        <f t="shared" ca="1" si="150"/>
        <v>0</v>
      </c>
      <c r="Q279" s="34">
        <f t="shared" ca="1" si="150"/>
        <v>0</v>
      </c>
      <c r="R279" s="34">
        <f t="shared" ca="1" si="150"/>
        <v>0</v>
      </c>
      <c r="S279" s="34">
        <f t="shared" ca="1" si="150"/>
        <v>0</v>
      </c>
      <c r="T279" s="34">
        <f t="shared" ca="1" si="150"/>
        <v>0</v>
      </c>
      <c r="U279" s="34">
        <f t="shared" ca="1" si="150"/>
        <v>0</v>
      </c>
      <c r="V279" s="34">
        <f t="shared" ca="1" si="150"/>
        <v>0</v>
      </c>
      <c r="W279" s="34">
        <f t="shared" ca="1" si="150"/>
        <v>0</v>
      </c>
      <c r="X279" s="34">
        <f t="shared" ca="1" si="150"/>
        <v>0</v>
      </c>
      <c r="Y279" s="34">
        <f t="shared" ca="1" si="150"/>
        <v>0</v>
      </c>
      <c r="Z279" s="34">
        <f t="shared" ca="1" si="150"/>
        <v>0</v>
      </c>
    </row>
    <row r="280" spans="2:26" x14ac:dyDescent="0.35">
      <c r="B280" s="41" t="s">
        <v>347</v>
      </c>
      <c r="F280" s="34">
        <f t="shared" ref="F280:Z280" ca="1" si="151">-F272+F262-F227+F217-F158+F147+F220+F150+F265</f>
        <v>0</v>
      </c>
      <c r="G280" s="34">
        <f t="shared" ca="1" si="151"/>
        <v>0</v>
      </c>
      <c r="H280" s="34">
        <f t="shared" ca="1" si="151"/>
        <v>0</v>
      </c>
      <c r="I280" s="34">
        <f t="shared" ca="1" si="151"/>
        <v>12717746.969372177</v>
      </c>
      <c r="J280" s="34">
        <f t="shared" ca="1" si="151"/>
        <v>11438333.50598431</v>
      </c>
      <c r="K280" s="34">
        <f t="shared" ca="1" si="151"/>
        <v>11438333.50598431</v>
      </c>
      <c r="L280" s="34">
        <f t="shared" ca="1" si="151"/>
        <v>11438333.50598431</v>
      </c>
      <c r="M280" s="34">
        <f t="shared" ca="1" si="151"/>
        <v>11438333.50598431</v>
      </c>
      <c r="N280" s="34">
        <f t="shared" ca="1" si="151"/>
        <v>159419911.13870412</v>
      </c>
      <c r="O280" s="34">
        <f t="shared" ca="1" si="151"/>
        <v>11438333.50598431</v>
      </c>
      <c r="P280" s="34">
        <f t="shared" ca="1" si="151"/>
        <v>11438333.50598431</v>
      </c>
      <c r="Q280" s="34">
        <f t="shared" ca="1" si="151"/>
        <v>11438333.50598431</v>
      </c>
      <c r="R280" s="34">
        <f t="shared" ca="1" si="151"/>
        <v>11438333.50598431</v>
      </c>
      <c r="S280" s="34">
        <f t="shared" ca="1" si="151"/>
        <v>11438333.505984312</v>
      </c>
      <c r="T280" s="34">
        <f t="shared" ca="1" si="151"/>
        <v>11438333.50598431</v>
      </c>
      <c r="U280" s="34">
        <f t="shared" ca="1" si="151"/>
        <v>11438333.505984308</v>
      </c>
      <c r="V280" s="34">
        <f t="shared" ca="1" si="151"/>
        <v>11438333.50598431</v>
      </c>
      <c r="W280" s="34">
        <f t="shared" ca="1" si="151"/>
        <v>11438333.50598431</v>
      </c>
      <c r="X280" s="34">
        <f t="shared" ca="1" si="151"/>
        <v>11438333.50598431</v>
      </c>
      <c r="Y280" s="34">
        <f t="shared" ca="1" si="151"/>
        <v>11438333.50598431</v>
      </c>
      <c r="Z280" s="34">
        <f t="shared" ca="1" si="151"/>
        <v>11438333.50598431</v>
      </c>
    </row>
    <row r="282" spans="2:26" x14ac:dyDescent="0.35">
      <c r="B282" s="37" t="s">
        <v>352</v>
      </c>
      <c r="C282" s="38"/>
      <c r="D282" s="38"/>
      <c r="E282" s="38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</row>
    <row r="284" spans="2:26" x14ac:dyDescent="0.35">
      <c r="B284" s="148" t="s">
        <v>351</v>
      </c>
      <c r="F284" s="150">
        <f>+Assumptions!$G$22</f>
        <v>44926</v>
      </c>
      <c r="G284" s="150">
        <f>+EOMONTH(F284,12)</f>
        <v>45291</v>
      </c>
      <c r="H284" s="150">
        <f t="shared" ref="H284:Z284" si="152">+EOMONTH(G284,12)</f>
        <v>45657</v>
      </c>
      <c r="I284" s="150">
        <f t="shared" si="152"/>
        <v>46022</v>
      </c>
      <c r="J284" s="150">
        <f t="shared" si="152"/>
        <v>46387</v>
      </c>
      <c r="K284" s="150">
        <f t="shared" si="152"/>
        <v>46752</v>
      </c>
      <c r="L284" s="150">
        <f t="shared" si="152"/>
        <v>47118</v>
      </c>
      <c r="M284" s="150">
        <f t="shared" si="152"/>
        <v>47483</v>
      </c>
      <c r="N284" s="150">
        <f t="shared" si="152"/>
        <v>47848</v>
      </c>
      <c r="O284" s="150">
        <f t="shared" si="152"/>
        <v>48213</v>
      </c>
      <c r="P284" s="150">
        <f t="shared" si="152"/>
        <v>48579</v>
      </c>
      <c r="Q284" s="150">
        <f t="shared" si="152"/>
        <v>48944</v>
      </c>
      <c r="R284" s="150">
        <f t="shared" si="152"/>
        <v>49309</v>
      </c>
      <c r="S284" s="150">
        <f t="shared" si="152"/>
        <v>49674</v>
      </c>
      <c r="T284" s="150">
        <f t="shared" si="152"/>
        <v>50040</v>
      </c>
      <c r="U284" s="150">
        <f t="shared" si="152"/>
        <v>50405</v>
      </c>
      <c r="V284" s="150">
        <f t="shared" si="152"/>
        <v>50770</v>
      </c>
      <c r="W284" s="150">
        <f t="shared" si="152"/>
        <v>51135</v>
      </c>
      <c r="X284" s="150">
        <f t="shared" si="152"/>
        <v>51501</v>
      </c>
      <c r="Y284" s="150">
        <f t="shared" si="152"/>
        <v>51866</v>
      </c>
      <c r="Z284" s="150">
        <f t="shared" si="152"/>
        <v>52231</v>
      </c>
    </row>
    <row r="285" spans="2:26" x14ac:dyDescent="0.35">
      <c r="B285" s="33" t="s">
        <v>61</v>
      </c>
      <c r="D285" s="48">
        <f>+SUM(F285:Z285)</f>
        <v>818973.10714285716</v>
      </c>
      <c r="E285" s="48"/>
      <c r="F285" s="34">
        <f>+IF(AND(F$284&gt;=Assumptions!$G$22,F$284&lt;Assumptions!$G$24),'S&amp;U'!$I7/ROUNDUP(Assumptions!$G$23/12,0),IF(AND(F$284&gt;=Assumptions!$G$24,F$284&lt;Assumptions!$G$26),'S&amp;U'!$I39/ROUNDUP(Assumptions!$G$25/12,0),0))</f>
        <v>818973.10714285716</v>
      </c>
      <c r="G285" s="34">
        <f>+IF(AND(G$284&gt;=Assumptions!$G$22,G$284&lt;Assumptions!$G$24),'S&amp;U'!$I7/ROUNDUP(Assumptions!$G$23/12,0),IF(AND(G$284&gt;=Assumptions!$G$24,G$284&lt;Assumptions!$G$26),'S&amp;U'!$I39/ROUNDUP(Assumptions!$G$25/12,0),0))</f>
        <v>0</v>
      </c>
      <c r="H285" s="34">
        <f>+IF(AND(H$284&gt;=Assumptions!$G$22,H$284&lt;Assumptions!$G$24),'S&amp;U'!$I7/ROUNDUP(Assumptions!$G$23/12,0),IF(AND(H$284&gt;=Assumptions!$G$24,H$284&lt;Assumptions!$G$26),'S&amp;U'!$I39/ROUNDUP(Assumptions!$G$25/12,0),0))</f>
        <v>0</v>
      </c>
      <c r="I285" s="34">
        <f>+IF(AND(I$284&gt;=Assumptions!$G$22,I$284&lt;Assumptions!$G$24),'S&amp;U'!$I7/ROUNDUP(Assumptions!$G$23/12,0),IF(AND(I$284&gt;=Assumptions!$G$24,I$284&lt;Assumptions!$G$26),'S&amp;U'!$I39/ROUNDUP(Assumptions!$G$25/12,0),0))</f>
        <v>0</v>
      </c>
      <c r="J285" s="34">
        <f>+IF(AND(J$284&gt;=Assumptions!$G$22,J$284&lt;Assumptions!$G$24),'S&amp;U'!$I7/ROUNDUP(Assumptions!$G$23/12,0),IF(AND(J$284&gt;=Assumptions!$G$24,J$284&lt;Assumptions!$G$26),'S&amp;U'!$I39/ROUNDUP(Assumptions!$G$25/12,0),0))</f>
        <v>0</v>
      </c>
      <c r="K285" s="34">
        <f>+IF(AND(K$284&gt;=Assumptions!$G$22,K$284&lt;Assumptions!$G$24),'S&amp;U'!$I7/ROUNDUP(Assumptions!$G$23/12,0),IF(AND(K$284&gt;=Assumptions!$G$24,K$284&lt;Assumptions!$G$26),'S&amp;U'!$I39/ROUNDUP(Assumptions!$G$25/12,0),0))</f>
        <v>0</v>
      </c>
      <c r="L285" s="34">
        <f>+IF(AND(L$284&gt;=Assumptions!$G$22,L$284&lt;Assumptions!$G$24),'S&amp;U'!$I7/ROUNDUP(Assumptions!$G$23/12,0),IF(AND(L$284&gt;=Assumptions!$G$24,L$284&lt;Assumptions!$G$26),'S&amp;U'!$I39/ROUNDUP(Assumptions!$G$25/12,0),0))</f>
        <v>0</v>
      </c>
      <c r="M285" s="34">
        <f>+IF(AND(M$284&gt;=Assumptions!$G$22,M$284&lt;Assumptions!$G$24),'S&amp;U'!$I7/ROUNDUP(Assumptions!$G$23/12,0),IF(AND(M$284&gt;=Assumptions!$G$24,M$284&lt;Assumptions!$G$26),'S&amp;U'!$I39/ROUNDUP(Assumptions!$G$25/12,0),0))</f>
        <v>0</v>
      </c>
      <c r="N285" s="34">
        <f>+IF(AND(N$284&gt;=Assumptions!$G$22,N$284&lt;Assumptions!$G$24),'S&amp;U'!$I7/ROUNDUP(Assumptions!$G$23/12,0),IF(AND(N$284&gt;=Assumptions!$G$24,N$284&lt;Assumptions!$G$26),'S&amp;U'!$I39/ROUNDUP(Assumptions!$G$25/12,0),0))</f>
        <v>0</v>
      </c>
      <c r="O285" s="34">
        <f>+IF(AND(O$284&gt;=Assumptions!$G$22,O$284&lt;Assumptions!$G$24),'S&amp;U'!$I7/ROUNDUP(Assumptions!$G$23/12,0),IF(AND(O$284&gt;=Assumptions!$G$24,O$284&lt;Assumptions!$G$26),'S&amp;U'!$I39/ROUNDUP(Assumptions!$G$25/12,0),0))</f>
        <v>0</v>
      </c>
      <c r="P285" s="34">
        <f>+IF(AND(P$284&gt;=Assumptions!$G$22,P$284&lt;Assumptions!$G$24),'S&amp;U'!$I7/ROUNDUP(Assumptions!$G$23/12,0),IF(AND(P$284&gt;=Assumptions!$G$24,P$284&lt;Assumptions!$G$26),'S&amp;U'!$I39/ROUNDUP(Assumptions!$G$25/12,0),0))</f>
        <v>0</v>
      </c>
      <c r="Q285" s="34">
        <f>+IF(AND(Q$284&gt;=Assumptions!$G$22,Q$284&lt;Assumptions!$G$24),'S&amp;U'!$I7/ROUNDUP(Assumptions!$G$23/12,0),IF(AND(Q$284&gt;=Assumptions!$G$24,Q$284&lt;Assumptions!$G$26),'S&amp;U'!$I39/ROUNDUP(Assumptions!$G$25/12,0),0))</f>
        <v>0</v>
      </c>
      <c r="R285" s="34">
        <f>+IF(AND(R$284&gt;=Assumptions!$G$22,R$284&lt;Assumptions!$G$24),'S&amp;U'!$I7/ROUNDUP(Assumptions!$G$23/12,0),IF(AND(R$284&gt;=Assumptions!$G$24,R$284&lt;Assumptions!$G$26),'S&amp;U'!$I39/ROUNDUP(Assumptions!$G$25/12,0),0))</f>
        <v>0</v>
      </c>
      <c r="S285" s="34">
        <f>+IF(AND(S$284&gt;=Assumptions!$G$22,S$284&lt;Assumptions!$G$24),'S&amp;U'!$I7/ROUNDUP(Assumptions!$G$23/12,0),IF(AND(S$284&gt;=Assumptions!$G$24,S$284&lt;Assumptions!$G$26),'S&amp;U'!$I39/ROUNDUP(Assumptions!$G$25/12,0),0))</f>
        <v>0</v>
      </c>
      <c r="T285" s="34">
        <f>+IF(AND(T$284&gt;=Assumptions!$G$22,T$284&lt;Assumptions!$G$24),'S&amp;U'!$I7/ROUNDUP(Assumptions!$G$23/12,0),IF(AND(T$284&gt;=Assumptions!$G$24,T$284&lt;Assumptions!$G$26),'S&amp;U'!$I39/ROUNDUP(Assumptions!$G$25/12,0),0))</f>
        <v>0</v>
      </c>
      <c r="U285" s="34">
        <f>+IF(AND(U$284&gt;=Assumptions!$G$22,U$284&lt;Assumptions!$G$24),'S&amp;U'!$I7/ROUNDUP(Assumptions!$G$23/12,0),IF(AND(U$284&gt;=Assumptions!$G$24,U$284&lt;Assumptions!$G$26),'S&amp;U'!$I39/ROUNDUP(Assumptions!$G$25/12,0),0))</f>
        <v>0</v>
      </c>
      <c r="V285" s="34">
        <f>+IF(AND(V$284&gt;=Assumptions!$G$22,V$284&lt;Assumptions!$G$24),'S&amp;U'!$I7/ROUNDUP(Assumptions!$G$23/12,0),IF(AND(V$284&gt;=Assumptions!$G$24,V$284&lt;Assumptions!$G$26),'S&amp;U'!$I39/ROUNDUP(Assumptions!$G$25/12,0),0))</f>
        <v>0</v>
      </c>
      <c r="W285" s="34">
        <f>+IF(AND(W$284&gt;=Assumptions!$G$22,W$284&lt;Assumptions!$G$24),'S&amp;U'!$I7/ROUNDUP(Assumptions!$G$23/12,0),IF(AND(W$284&gt;=Assumptions!$G$24,W$284&lt;Assumptions!$G$26),'S&amp;U'!$I39/ROUNDUP(Assumptions!$G$25/12,0),0))</f>
        <v>0</v>
      </c>
      <c r="X285" s="34">
        <f>+IF(AND(X$284&gt;=Assumptions!$G$22,X$284&lt;Assumptions!$G$24),'S&amp;U'!$I7/ROUNDUP(Assumptions!$G$23/12,0),IF(AND(X$284&gt;=Assumptions!$G$24,X$284&lt;Assumptions!$G$26),'S&amp;U'!$I39/ROUNDUP(Assumptions!$G$25/12,0),0))</f>
        <v>0</v>
      </c>
      <c r="Y285" s="34">
        <f>+IF(AND(Y$284&gt;=Assumptions!$G$22,Y$284&lt;Assumptions!$G$24),'S&amp;U'!$I7/ROUNDUP(Assumptions!$G$23/12,0),IF(AND(Y$284&gt;=Assumptions!$G$24,Y$284&lt;Assumptions!$G$26),'S&amp;U'!$I39/ROUNDUP(Assumptions!$G$25/12,0),0))</f>
        <v>0</v>
      </c>
      <c r="Z285" s="34">
        <f>+IF(AND(Z$284&gt;=Assumptions!$G$22,Z$284&lt;Assumptions!$G$24),'S&amp;U'!$I7/ROUNDUP(Assumptions!$G$23/12,0),IF(AND(Z$284&gt;=Assumptions!$G$24,Z$284&lt;Assumptions!$G$26),'S&amp;U'!$I39/ROUNDUP(Assumptions!$G$25/12,0),0))</f>
        <v>0</v>
      </c>
    </row>
    <row r="286" spans="2:26" x14ac:dyDescent="0.35">
      <c r="B286" s="33" t="s">
        <v>8</v>
      </c>
      <c r="D286" s="48">
        <f t="shared" ref="D286:D291" si="153">+SUM(F286:Z286)</f>
        <v>10461100</v>
      </c>
      <c r="E286" s="48"/>
      <c r="F286" s="151">
        <f>+IF(AND(F$284&gt;=Assumptions!$G$22,F$284&lt;Assumptions!$G$24),'S&amp;U'!$I8/ROUNDUP(Assumptions!$G$23/12,0),IF(AND(F$284&gt;=Assumptions!$G$24,F$284&lt;Assumptions!$G$26),'S&amp;U'!$I40/ROUNDUP(Assumptions!$G$25/12,0),0))</f>
        <v>10461100</v>
      </c>
      <c r="G286" s="151">
        <f>+IF(AND(G$284&gt;=Assumptions!$G$22,G$284&lt;Assumptions!$G$24),'S&amp;U'!$I8/ROUNDUP(Assumptions!$G$23/12,0),IF(AND(G$284&gt;=Assumptions!$G$24,G$284&lt;Assumptions!$G$26),'S&amp;U'!$I40/ROUNDUP(Assumptions!$G$25/12,0),0))</f>
        <v>0</v>
      </c>
      <c r="H286" s="151">
        <f>+IF(AND(H$284&gt;=Assumptions!$G$22,H$284&lt;Assumptions!$G$24),'S&amp;U'!$I8/ROUNDUP(Assumptions!$G$23/12,0),IF(AND(H$284&gt;=Assumptions!$G$24,H$284&lt;Assumptions!$G$26),'S&amp;U'!$I40/ROUNDUP(Assumptions!$G$25/12,0),0))</f>
        <v>0</v>
      </c>
      <c r="I286" s="151">
        <f>+IF(AND(I$284&gt;=Assumptions!$G$22,I$284&lt;Assumptions!$G$24),'S&amp;U'!$I8/ROUNDUP(Assumptions!$G$23/12,0),IF(AND(I$284&gt;=Assumptions!$G$24,I$284&lt;Assumptions!$G$26),'S&amp;U'!$I40/ROUNDUP(Assumptions!$G$25/12,0),0))</f>
        <v>0</v>
      </c>
      <c r="J286" s="151">
        <f>+IF(AND(J$284&gt;=Assumptions!$G$22,J$284&lt;Assumptions!$G$24),'S&amp;U'!$I8/ROUNDUP(Assumptions!$G$23/12,0),IF(AND(J$284&gt;=Assumptions!$G$24,J$284&lt;Assumptions!$G$26),'S&amp;U'!$I40/ROUNDUP(Assumptions!$G$25/12,0),0))</f>
        <v>0</v>
      </c>
      <c r="K286" s="151">
        <f>+IF(AND(K$284&gt;=Assumptions!$G$22,K$284&lt;Assumptions!$G$24),'S&amp;U'!$I8/ROUNDUP(Assumptions!$G$23/12,0),IF(AND(K$284&gt;=Assumptions!$G$24,K$284&lt;Assumptions!$G$26),'S&amp;U'!$I40/ROUNDUP(Assumptions!$G$25/12,0),0))</f>
        <v>0</v>
      </c>
      <c r="L286" s="151">
        <f>+IF(AND(L$284&gt;=Assumptions!$G$22,L$284&lt;Assumptions!$G$24),'S&amp;U'!$I8/ROUNDUP(Assumptions!$G$23/12,0),IF(AND(L$284&gt;=Assumptions!$G$24,L$284&lt;Assumptions!$G$26),'S&amp;U'!$I40/ROUNDUP(Assumptions!$G$25/12,0),0))</f>
        <v>0</v>
      </c>
      <c r="M286" s="151">
        <f>+IF(AND(M$284&gt;=Assumptions!$G$22,M$284&lt;Assumptions!$G$24),'S&amp;U'!$I8/ROUNDUP(Assumptions!$G$23/12,0),IF(AND(M$284&gt;=Assumptions!$G$24,M$284&lt;Assumptions!$G$26),'S&amp;U'!$I40/ROUNDUP(Assumptions!$G$25/12,0),0))</f>
        <v>0</v>
      </c>
      <c r="N286" s="151">
        <f>+IF(AND(N$284&gt;=Assumptions!$G$22,N$284&lt;Assumptions!$G$24),'S&amp;U'!$I8/ROUNDUP(Assumptions!$G$23/12,0),IF(AND(N$284&gt;=Assumptions!$G$24,N$284&lt;Assumptions!$G$26),'S&amp;U'!$I40/ROUNDUP(Assumptions!$G$25/12,0),0))</f>
        <v>0</v>
      </c>
      <c r="O286" s="151">
        <f>+IF(AND(O$284&gt;=Assumptions!$G$22,O$284&lt;Assumptions!$G$24),'S&amp;U'!$I8/ROUNDUP(Assumptions!$G$23/12,0),IF(AND(O$284&gt;=Assumptions!$G$24,O$284&lt;Assumptions!$G$26),'S&amp;U'!$I40/ROUNDUP(Assumptions!$G$25/12,0),0))</f>
        <v>0</v>
      </c>
      <c r="P286" s="151">
        <f>+IF(AND(P$284&gt;=Assumptions!$G$22,P$284&lt;Assumptions!$G$24),'S&amp;U'!$I8/ROUNDUP(Assumptions!$G$23/12,0),IF(AND(P$284&gt;=Assumptions!$G$24,P$284&lt;Assumptions!$G$26),'S&amp;U'!$I40/ROUNDUP(Assumptions!$G$25/12,0),0))</f>
        <v>0</v>
      </c>
      <c r="Q286" s="151">
        <f>+IF(AND(Q$284&gt;=Assumptions!$G$22,Q$284&lt;Assumptions!$G$24),'S&amp;U'!$I8/ROUNDUP(Assumptions!$G$23/12,0),IF(AND(Q$284&gt;=Assumptions!$G$24,Q$284&lt;Assumptions!$G$26),'S&amp;U'!$I40/ROUNDUP(Assumptions!$G$25/12,0),0))</f>
        <v>0</v>
      </c>
      <c r="R286" s="151">
        <f>+IF(AND(R$284&gt;=Assumptions!$G$22,R$284&lt;Assumptions!$G$24),'S&amp;U'!$I8/ROUNDUP(Assumptions!$G$23/12,0),IF(AND(R$284&gt;=Assumptions!$G$24,R$284&lt;Assumptions!$G$26),'S&amp;U'!$I40/ROUNDUP(Assumptions!$G$25/12,0),0))</f>
        <v>0</v>
      </c>
      <c r="S286" s="151">
        <f>+IF(AND(S$284&gt;=Assumptions!$G$22,S$284&lt;Assumptions!$G$24),'S&amp;U'!$I8/ROUNDUP(Assumptions!$G$23/12,0),IF(AND(S$284&gt;=Assumptions!$G$24,S$284&lt;Assumptions!$G$26),'S&amp;U'!$I40/ROUNDUP(Assumptions!$G$25/12,0),0))</f>
        <v>0</v>
      </c>
      <c r="T286" s="151">
        <f>+IF(AND(T$284&gt;=Assumptions!$G$22,T$284&lt;Assumptions!$G$24),'S&amp;U'!$I8/ROUNDUP(Assumptions!$G$23/12,0),IF(AND(T$284&gt;=Assumptions!$G$24,T$284&lt;Assumptions!$G$26),'S&amp;U'!$I40/ROUNDUP(Assumptions!$G$25/12,0),0))</f>
        <v>0</v>
      </c>
      <c r="U286" s="151">
        <f>+IF(AND(U$284&gt;=Assumptions!$G$22,U$284&lt;Assumptions!$G$24),'S&amp;U'!$I8/ROUNDUP(Assumptions!$G$23/12,0),IF(AND(U$284&gt;=Assumptions!$G$24,U$284&lt;Assumptions!$G$26),'S&amp;U'!$I40/ROUNDUP(Assumptions!$G$25/12,0),0))</f>
        <v>0</v>
      </c>
      <c r="V286" s="151">
        <f>+IF(AND(V$284&gt;=Assumptions!$G$22,V$284&lt;Assumptions!$G$24),'S&amp;U'!$I8/ROUNDUP(Assumptions!$G$23/12,0),IF(AND(V$284&gt;=Assumptions!$G$24,V$284&lt;Assumptions!$G$26),'S&amp;U'!$I40/ROUNDUP(Assumptions!$G$25/12,0),0))</f>
        <v>0</v>
      </c>
      <c r="W286" s="151">
        <f>+IF(AND(W$284&gt;=Assumptions!$G$22,W$284&lt;Assumptions!$G$24),'S&amp;U'!$I8/ROUNDUP(Assumptions!$G$23/12,0),IF(AND(W$284&gt;=Assumptions!$G$24,W$284&lt;Assumptions!$G$26),'S&amp;U'!$I40/ROUNDUP(Assumptions!$G$25/12,0),0))</f>
        <v>0</v>
      </c>
      <c r="X286" s="151">
        <f>+IF(AND(X$284&gt;=Assumptions!$G$22,X$284&lt;Assumptions!$G$24),'S&amp;U'!$I8/ROUNDUP(Assumptions!$G$23/12,0),IF(AND(X$284&gt;=Assumptions!$G$24,X$284&lt;Assumptions!$G$26),'S&amp;U'!$I40/ROUNDUP(Assumptions!$G$25/12,0),0))</f>
        <v>0</v>
      </c>
      <c r="Y286" s="151">
        <f>+IF(AND(Y$284&gt;=Assumptions!$G$22,Y$284&lt;Assumptions!$G$24),'S&amp;U'!$I8/ROUNDUP(Assumptions!$G$23/12,0),IF(AND(Y$284&gt;=Assumptions!$G$24,Y$284&lt;Assumptions!$G$26),'S&amp;U'!$I40/ROUNDUP(Assumptions!$G$25/12,0),0))</f>
        <v>0</v>
      </c>
      <c r="Z286" s="151">
        <f>+IF(AND(Z$284&gt;=Assumptions!$G$22,Z$284&lt;Assumptions!$G$24),'S&amp;U'!$I8/ROUNDUP(Assumptions!$G$23/12,0),IF(AND(Z$284&gt;=Assumptions!$G$24,Z$284&lt;Assumptions!$G$26),'S&amp;U'!$I40/ROUNDUP(Assumptions!$G$25/12,0),0))</f>
        <v>0</v>
      </c>
    </row>
    <row r="287" spans="2:26" x14ac:dyDescent="0.35">
      <c r="B287" s="33" t="s">
        <v>57</v>
      </c>
      <c r="D287" s="48">
        <f t="shared" ca="1" si="153"/>
        <v>174155529.98339999</v>
      </c>
      <c r="E287" s="48"/>
      <c r="F287" s="151">
        <f>+IF(AND(F$284&gt;=Assumptions!$G$22,F$284&lt;Assumptions!$G$24),'S&amp;U'!$I9/ROUNDUP(Assumptions!$G$23/12,0),IF(AND(F$284&gt;=Assumptions!$G$24,F$284&lt;Assumptions!$G$26),'S&amp;U'!$I41/ROUNDUP(Assumptions!$G$25/12,0),0))</f>
        <v>0</v>
      </c>
      <c r="G287" s="151">
        <f ca="1">+IF(AND(G$284&gt;=Assumptions!$G$22,G$284&lt;Assumptions!$G$24),'S&amp;U'!$I9/ROUNDUP(Assumptions!$G$23/12,0),IF(AND(G$284&gt;=Assumptions!$G$24,G$284&lt;Assumptions!$G$26),'S&amp;U'!$I41/ROUNDUP(Assumptions!$G$25/12,0),0))</f>
        <v>87077764.991699994</v>
      </c>
      <c r="H287" s="151">
        <f ca="1">+IF(AND(H$284&gt;=Assumptions!$G$22,H$284&lt;Assumptions!$G$24),'S&amp;U'!$I9/ROUNDUP(Assumptions!$G$23/12,0),IF(AND(H$284&gt;=Assumptions!$G$24,H$284&lt;Assumptions!$G$26),'S&amp;U'!$I41/ROUNDUP(Assumptions!$G$25/12,0),0))</f>
        <v>87077764.991699994</v>
      </c>
      <c r="I287" s="151">
        <f>+IF(AND(I$284&gt;=Assumptions!$G$22,I$284&lt;Assumptions!$G$24),'S&amp;U'!$I9/ROUNDUP(Assumptions!$G$23/12,0),IF(AND(I$284&gt;=Assumptions!$G$24,I$284&lt;Assumptions!$G$26),'S&amp;U'!$I41/ROUNDUP(Assumptions!$G$25/12,0),0))</f>
        <v>0</v>
      </c>
      <c r="J287" s="151">
        <f>+IF(AND(J$284&gt;=Assumptions!$G$22,J$284&lt;Assumptions!$G$24),'S&amp;U'!$I9/ROUNDUP(Assumptions!$G$23/12,0),IF(AND(J$284&gt;=Assumptions!$G$24,J$284&lt;Assumptions!$G$26),'S&amp;U'!$I41/ROUNDUP(Assumptions!$G$25/12,0),0))</f>
        <v>0</v>
      </c>
      <c r="K287" s="151">
        <f>+IF(AND(K$284&gt;=Assumptions!$G$22,K$284&lt;Assumptions!$G$24),'S&amp;U'!$I9/ROUNDUP(Assumptions!$G$23/12,0),IF(AND(K$284&gt;=Assumptions!$G$24,K$284&lt;Assumptions!$G$26),'S&amp;U'!$I41/ROUNDUP(Assumptions!$G$25/12,0),0))</f>
        <v>0</v>
      </c>
      <c r="L287" s="151">
        <f>+IF(AND(L$284&gt;=Assumptions!$G$22,L$284&lt;Assumptions!$G$24),'S&amp;U'!$I9/ROUNDUP(Assumptions!$G$23/12,0),IF(AND(L$284&gt;=Assumptions!$G$24,L$284&lt;Assumptions!$G$26),'S&amp;U'!$I41/ROUNDUP(Assumptions!$G$25/12,0),0))</f>
        <v>0</v>
      </c>
      <c r="M287" s="151">
        <f>+IF(AND(M$284&gt;=Assumptions!$G$22,M$284&lt;Assumptions!$G$24),'S&amp;U'!$I9/ROUNDUP(Assumptions!$G$23/12,0),IF(AND(M$284&gt;=Assumptions!$G$24,M$284&lt;Assumptions!$G$26),'S&amp;U'!$I41/ROUNDUP(Assumptions!$G$25/12,0),0))</f>
        <v>0</v>
      </c>
      <c r="N287" s="151">
        <f>+IF(AND(N$284&gt;=Assumptions!$G$22,N$284&lt;Assumptions!$G$24),'S&amp;U'!$I9/ROUNDUP(Assumptions!$G$23/12,0),IF(AND(N$284&gt;=Assumptions!$G$24,N$284&lt;Assumptions!$G$26),'S&amp;U'!$I41/ROUNDUP(Assumptions!$G$25/12,0),0))</f>
        <v>0</v>
      </c>
      <c r="O287" s="151">
        <f>+IF(AND(O$284&gt;=Assumptions!$G$22,O$284&lt;Assumptions!$G$24),'S&amp;U'!$I9/ROUNDUP(Assumptions!$G$23/12,0),IF(AND(O$284&gt;=Assumptions!$G$24,O$284&lt;Assumptions!$G$26),'S&amp;U'!$I41/ROUNDUP(Assumptions!$G$25/12,0),0))</f>
        <v>0</v>
      </c>
      <c r="P287" s="151">
        <f>+IF(AND(P$284&gt;=Assumptions!$G$22,P$284&lt;Assumptions!$G$24),'S&amp;U'!$I9/ROUNDUP(Assumptions!$G$23/12,0),IF(AND(P$284&gt;=Assumptions!$G$24,P$284&lt;Assumptions!$G$26),'S&amp;U'!$I41/ROUNDUP(Assumptions!$G$25/12,0),0))</f>
        <v>0</v>
      </c>
      <c r="Q287" s="151">
        <f>+IF(AND(Q$284&gt;=Assumptions!$G$22,Q$284&lt;Assumptions!$G$24),'S&amp;U'!$I9/ROUNDUP(Assumptions!$G$23/12,0),IF(AND(Q$284&gt;=Assumptions!$G$24,Q$284&lt;Assumptions!$G$26),'S&amp;U'!$I41/ROUNDUP(Assumptions!$G$25/12,0),0))</f>
        <v>0</v>
      </c>
      <c r="R287" s="151">
        <f>+IF(AND(R$284&gt;=Assumptions!$G$22,R$284&lt;Assumptions!$G$24),'S&amp;U'!$I9/ROUNDUP(Assumptions!$G$23/12,0),IF(AND(R$284&gt;=Assumptions!$G$24,R$284&lt;Assumptions!$G$26),'S&amp;U'!$I41/ROUNDUP(Assumptions!$G$25/12,0),0))</f>
        <v>0</v>
      </c>
      <c r="S287" s="151">
        <f>+IF(AND(S$284&gt;=Assumptions!$G$22,S$284&lt;Assumptions!$G$24),'S&amp;U'!$I9/ROUNDUP(Assumptions!$G$23/12,0),IF(AND(S$284&gt;=Assumptions!$G$24,S$284&lt;Assumptions!$G$26),'S&amp;U'!$I41/ROUNDUP(Assumptions!$G$25/12,0),0))</f>
        <v>0</v>
      </c>
      <c r="T287" s="151">
        <f>+IF(AND(T$284&gt;=Assumptions!$G$22,T$284&lt;Assumptions!$G$24),'S&amp;U'!$I9/ROUNDUP(Assumptions!$G$23/12,0),IF(AND(T$284&gt;=Assumptions!$G$24,T$284&lt;Assumptions!$G$26),'S&amp;U'!$I41/ROUNDUP(Assumptions!$G$25/12,0),0))</f>
        <v>0</v>
      </c>
      <c r="U287" s="151">
        <f>+IF(AND(U$284&gt;=Assumptions!$G$22,U$284&lt;Assumptions!$G$24),'S&amp;U'!$I9/ROUNDUP(Assumptions!$G$23/12,0),IF(AND(U$284&gt;=Assumptions!$G$24,U$284&lt;Assumptions!$G$26),'S&amp;U'!$I41/ROUNDUP(Assumptions!$G$25/12,0),0))</f>
        <v>0</v>
      </c>
      <c r="V287" s="151">
        <f>+IF(AND(V$284&gt;=Assumptions!$G$22,V$284&lt;Assumptions!$G$24),'S&amp;U'!$I9/ROUNDUP(Assumptions!$G$23/12,0),IF(AND(V$284&gt;=Assumptions!$G$24,V$284&lt;Assumptions!$G$26),'S&amp;U'!$I41/ROUNDUP(Assumptions!$G$25/12,0),0))</f>
        <v>0</v>
      </c>
      <c r="W287" s="151">
        <f>+IF(AND(W$284&gt;=Assumptions!$G$22,W$284&lt;Assumptions!$G$24),'S&amp;U'!$I9/ROUNDUP(Assumptions!$G$23/12,0),IF(AND(W$284&gt;=Assumptions!$G$24,W$284&lt;Assumptions!$G$26),'S&amp;U'!$I41/ROUNDUP(Assumptions!$G$25/12,0),0))</f>
        <v>0</v>
      </c>
      <c r="X287" s="151">
        <f>+IF(AND(X$284&gt;=Assumptions!$G$22,X$284&lt;Assumptions!$G$24),'S&amp;U'!$I9/ROUNDUP(Assumptions!$G$23/12,0),IF(AND(X$284&gt;=Assumptions!$G$24,X$284&lt;Assumptions!$G$26),'S&amp;U'!$I41/ROUNDUP(Assumptions!$G$25/12,0),0))</f>
        <v>0</v>
      </c>
      <c r="Y287" s="151">
        <f>+IF(AND(Y$284&gt;=Assumptions!$G$22,Y$284&lt;Assumptions!$G$24),'S&amp;U'!$I9/ROUNDUP(Assumptions!$G$23/12,0),IF(AND(Y$284&gt;=Assumptions!$G$24,Y$284&lt;Assumptions!$G$26),'S&amp;U'!$I41/ROUNDUP(Assumptions!$G$25/12,0),0))</f>
        <v>0</v>
      </c>
      <c r="Z287" s="151">
        <f>+IF(AND(Z$284&gt;=Assumptions!$G$22,Z$284&lt;Assumptions!$G$24),'S&amp;U'!$I9/ROUNDUP(Assumptions!$G$23/12,0),IF(AND(Z$284&gt;=Assumptions!$G$24,Z$284&lt;Assumptions!$G$26),'S&amp;U'!$I41/ROUNDUP(Assumptions!$G$25/12,0),0))</f>
        <v>0</v>
      </c>
    </row>
    <row r="288" spans="2:26" x14ac:dyDescent="0.35">
      <c r="B288" s="33" t="s">
        <v>58</v>
      </c>
      <c r="D288" s="48">
        <f t="shared" ca="1" si="153"/>
        <v>13372221.469901217</v>
      </c>
      <c r="E288" s="48"/>
      <c r="F288" s="151">
        <f ca="1">+IF(AND(F$284&gt;=Assumptions!$G$22,F$284&lt;Assumptions!$G$24),'S&amp;U'!$I10/ROUNDUP(Assumptions!$G$23/12,0),IF(AND(F$284&gt;=Assumptions!$G$24,F$284&lt;Assumptions!$G$26),'S&amp;U'!$I42/ROUNDUP(Assumptions!$G$25/12,0),0))</f>
        <v>7588283.2699150536</v>
      </c>
      <c r="G288" s="151">
        <f ca="1">+IF(AND(G$284&gt;=Assumptions!$G$22,G$284&lt;Assumptions!$G$24),'S&amp;U'!$I10/ROUNDUP(Assumptions!$G$23/12,0),IF(AND(G$284&gt;=Assumptions!$G$24,G$284&lt;Assumptions!$G$26),'S&amp;U'!$I42/ROUNDUP(Assumptions!$G$25/12,0),0))</f>
        <v>2891969.0999930818</v>
      </c>
      <c r="H288" s="151">
        <f ca="1">+IF(AND(H$284&gt;=Assumptions!$G$22,H$284&lt;Assumptions!$G$24),'S&amp;U'!$I10/ROUNDUP(Assumptions!$G$23/12,0),IF(AND(H$284&gt;=Assumptions!$G$24,H$284&lt;Assumptions!$G$26),'S&amp;U'!$I42/ROUNDUP(Assumptions!$G$25/12,0),0))</f>
        <v>2891969.0999930818</v>
      </c>
      <c r="I288" s="151">
        <f>+IF(AND(I$284&gt;=Assumptions!$G$22,I$284&lt;Assumptions!$G$24),'S&amp;U'!$I10/ROUNDUP(Assumptions!$G$23/12,0),IF(AND(I$284&gt;=Assumptions!$G$24,I$284&lt;Assumptions!$G$26),'S&amp;U'!$I42/ROUNDUP(Assumptions!$G$25/12,0),0))</f>
        <v>0</v>
      </c>
      <c r="J288" s="151">
        <f>+IF(AND(J$284&gt;=Assumptions!$G$22,J$284&lt;Assumptions!$G$24),'S&amp;U'!$I10/ROUNDUP(Assumptions!$G$23/12,0),IF(AND(J$284&gt;=Assumptions!$G$24,J$284&lt;Assumptions!$G$26),'S&amp;U'!$I42/ROUNDUP(Assumptions!$G$25/12,0),0))</f>
        <v>0</v>
      </c>
      <c r="K288" s="151">
        <f>+IF(AND(K$284&gt;=Assumptions!$G$22,K$284&lt;Assumptions!$G$24),'S&amp;U'!$I10/ROUNDUP(Assumptions!$G$23/12,0),IF(AND(K$284&gt;=Assumptions!$G$24,K$284&lt;Assumptions!$G$26),'S&amp;U'!$I42/ROUNDUP(Assumptions!$G$25/12,0),0))</f>
        <v>0</v>
      </c>
      <c r="L288" s="151">
        <f>+IF(AND(L$284&gt;=Assumptions!$G$22,L$284&lt;Assumptions!$G$24),'S&amp;U'!$I10/ROUNDUP(Assumptions!$G$23/12,0),IF(AND(L$284&gt;=Assumptions!$G$24,L$284&lt;Assumptions!$G$26),'S&amp;U'!$I42/ROUNDUP(Assumptions!$G$25/12,0),0))</f>
        <v>0</v>
      </c>
      <c r="M288" s="151">
        <f>+IF(AND(M$284&gt;=Assumptions!$G$22,M$284&lt;Assumptions!$G$24),'S&amp;U'!$I10/ROUNDUP(Assumptions!$G$23/12,0),IF(AND(M$284&gt;=Assumptions!$G$24,M$284&lt;Assumptions!$G$26),'S&amp;U'!$I42/ROUNDUP(Assumptions!$G$25/12,0),0))</f>
        <v>0</v>
      </c>
      <c r="N288" s="151">
        <f>+IF(AND(N$284&gt;=Assumptions!$G$22,N$284&lt;Assumptions!$G$24),'S&amp;U'!$I10/ROUNDUP(Assumptions!$G$23/12,0),IF(AND(N$284&gt;=Assumptions!$G$24,N$284&lt;Assumptions!$G$26),'S&amp;U'!$I42/ROUNDUP(Assumptions!$G$25/12,0),0))</f>
        <v>0</v>
      </c>
      <c r="O288" s="151">
        <f>+IF(AND(O$284&gt;=Assumptions!$G$22,O$284&lt;Assumptions!$G$24),'S&amp;U'!$I10/ROUNDUP(Assumptions!$G$23/12,0),IF(AND(O$284&gt;=Assumptions!$G$24,O$284&lt;Assumptions!$G$26),'S&amp;U'!$I42/ROUNDUP(Assumptions!$G$25/12,0),0))</f>
        <v>0</v>
      </c>
      <c r="P288" s="151">
        <f>+IF(AND(P$284&gt;=Assumptions!$G$22,P$284&lt;Assumptions!$G$24),'S&amp;U'!$I10/ROUNDUP(Assumptions!$G$23/12,0),IF(AND(P$284&gt;=Assumptions!$G$24,P$284&lt;Assumptions!$G$26),'S&amp;U'!$I42/ROUNDUP(Assumptions!$G$25/12,0),0))</f>
        <v>0</v>
      </c>
      <c r="Q288" s="151">
        <f>+IF(AND(Q$284&gt;=Assumptions!$G$22,Q$284&lt;Assumptions!$G$24),'S&amp;U'!$I10/ROUNDUP(Assumptions!$G$23/12,0),IF(AND(Q$284&gt;=Assumptions!$G$24,Q$284&lt;Assumptions!$G$26),'S&amp;U'!$I42/ROUNDUP(Assumptions!$G$25/12,0),0))</f>
        <v>0</v>
      </c>
      <c r="R288" s="151">
        <f>+IF(AND(R$284&gt;=Assumptions!$G$22,R$284&lt;Assumptions!$G$24),'S&amp;U'!$I10/ROUNDUP(Assumptions!$G$23/12,0),IF(AND(R$284&gt;=Assumptions!$G$24,R$284&lt;Assumptions!$G$26),'S&amp;U'!$I42/ROUNDUP(Assumptions!$G$25/12,0),0))</f>
        <v>0</v>
      </c>
      <c r="S288" s="151">
        <f>+IF(AND(S$284&gt;=Assumptions!$G$22,S$284&lt;Assumptions!$G$24),'S&amp;U'!$I10/ROUNDUP(Assumptions!$G$23/12,0),IF(AND(S$284&gt;=Assumptions!$G$24,S$284&lt;Assumptions!$G$26),'S&amp;U'!$I42/ROUNDUP(Assumptions!$G$25/12,0),0))</f>
        <v>0</v>
      </c>
      <c r="T288" s="151">
        <f>+IF(AND(T$284&gt;=Assumptions!$G$22,T$284&lt;Assumptions!$G$24),'S&amp;U'!$I10/ROUNDUP(Assumptions!$G$23/12,0),IF(AND(T$284&gt;=Assumptions!$G$24,T$284&lt;Assumptions!$G$26),'S&amp;U'!$I42/ROUNDUP(Assumptions!$G$25/12,0),0))</f>
        <v>0</v>
      </c>
      <c r="U288" s="151">
        <f>+IF(AND(U$284&gt;=Assumptions!$G$22,U$284&lt;Assumptions!$G$24),'S&amp;U'!$I10/ROUNDUP(Assumptions!$G$23/12,0),IF(AND(U$284&gt;=Assumptions!$G$24,U$284&lt;Assumptions!$G$26),'S&amp;U'!$I42/ROUNDUP(Assumptions!$G$25/12,0),0))</f>
        <v>0</v>
      </c>
      <c r="V288" s="151">
        <f>+IF(AND(V$284&gt;=Assumptions!$G$22,V$284&lt;Assumptions!$G$24),'S&amp;U'!$I10/ROUNDUP(Assumptions!$G$23/12,0),IF(AND(V$284&gt;=Assumptions!$G$24,V$284&lt;Assumptions!$G$26),'S&amp;U'!$I42/ROUNDUP(Assumptions!$G$25/12,0),0))</f>
        <v>0</v>
      </c>
      <c r="W288" s="151">
        <f>+IF(AND(W$284&gt;=Assumptions!$G$22,W$284&lt;Assumptions!$G$24),'S&amp;U'!$I10/ROUNDUP(Assumptions!$G$23/12,0),IF(AND(W$284&gt;=Assumptions!$G$24,W$284&lt;Assumptions!$G$26),'S&amp;U'!$I42/ROUNDUP(Assumptions!$G$25/12,0),0))</f>
        <v>0</v>
      </c>
      <c r="X288" s="151">
        <f>+IF(AND(X$284&gt;=Assumptions!$G$22,X$284&lt;Assumptions!$G$24),'S&amp;U'!$I10/ROUNDUP(Assumptions!$G$23/12,0),IF(AND(X$284&gt;=Assumptions!$G$24,X$284&lt;Assumptions!$G$26),'S&amp;U'!$I42/ROUNDUP(Assumptions!$G$25/12,0),0))</f>
        <v>0</v>
      </c>
      <c r="Y288" s="151">
        <f>+IF(AND(Y$284&gt;=Assumptions!$G$22,Y$284&lt;Assumptions!$G$24),'S&amp;U'!$I10/ROUNDUP(Assumptions!$G$23/12,0),IF(AND(Y$284&gt;=Assumptions!$G$24,Y$284&lt;Assumptions!$G$26),'S&amp;U'!$I42/ROUNDUP(Assumptions!$G$25/12,0),0))</f>
        <v>0</v>
      </c>
      <c r="Z288" s="151">
        <f>+IF(AND(Z$284&gt;=Assumptions!$G$22,Z$284&lt;Assumptions!$G$24),'S&amp;U'!$I10/ROUNDUP(Assumptions!$G$23/12,0),IF(AND(Z$284&gt;=Assumptions!$G$24,Z$284&lt;Assumptions!$G$26),'S&amp;U'!$I42/ROUNDUP(Assumptions!$G$25/12,0),0))</f>
        <v>0</v>
      </c>
    </row>
    <row r="289" spans="1:26" x14ac:dyDescent="0.35">
      <c r="B289" s="33" t="s">
        <v>80</v>
      </c>
      <c r="D289" s="48">
        <f t="shared" ca="1" si="153"/>
        <v>16056189.021147538</v>
      </c>
      <c r="E289" s="48"/>
      <c r="F289" s="151">
        <f>+IF(AND(F$284&gt;=Assumptions!$G$22,F$284&lt;Assumptions!$G$24),'S&amp;U'!$I11/ROUNDUP(Assumptions!$G$23/12,0),IF(AND(F$284&gt;=Assumptions!$G$24,F$284&lt;Assumptions!$G$26),'S&amp;U'!$I43/ROUNDUP(Assumptions!$G$25/12,0),0))</f>
        <v>0</v>
      </c>
      <c r="G289" s="151">
        <f ca="1">+IF(AND(G$284&gt;=Assumptions!$G$22,G$284&lt;Assumptions!$G$24),'S&amp;U'!$I11/ROUNDUP(Assumptions!$G$23/12,0),IF(AND(G$284&gt;=Assumptions!$G$24,G$284&lt;Assumptions!$G$26),'S&amp;U'!$I43/ROUNDUP(Assumptions!$G$25/12,0),0))</f>
        <v>8028094.510573769</v>
      </c>
      <c r="H289" s="151">
        <f ca="1">+IF(AND(H$284&gt;=Assumptions!$G$22,H$284&lt;Assumptions!$G$24),'S&amp;U'!$I11/ROUNDUP(Assumptions!$G$23/12,0),IF(AND(H$284&gt;=Assumptions!$G$24,H$284&lt;Assumptions!$G$26),'S&amp;U'!$I43/ROUNDUP(Assumptions!$G$25/12,0),0))</f>
        <v>8028094.510573769</v>
      </c>
      <c r="I289" s="151">
        <f>+IF(AND(I$284&gt;=Assumptions!$G$22,I$284&lt;Assumptions!$G$24),'S&amp;U'!$I11/ROUNDUP(Assumptions!$G$23/12,0),IF(AND(I$284&gt;=Assumptions!$G$24,I$284&lt;Assumptions!$G$26),'S&amp;U'!$I43/ROUNDUP(Assumptions!$G$25/12,0),0))</f>
        <v>0</v>
      </c>
      <c r="J289" s="151">
        <f>+IF(AND(J$284&gt;=Assumptions!$G$22,J$284&lt;Assumptions!$G$24),'S&amp;U'!$I11/ROUNDUP(Assumptions!$G$23/12,0),IF(AND(J$284&gt;=Assumptions!$G$24,J$284&lt;Assumptions!$G$26),'S&amp;U'!$I43/ROUNDUP(Assumptions!$G$25/12,0),0))</f>
        <v>0</v>
      </c>
      <c r="K289" s="151">
        <f>+IF(AND(K$284&gt;=Assumptions!$G$22,K$284&lt;Assumptions!$G$24),'S&amp;U'!$I11/ROUNDUP(Assumptions!$G$23/12,0),IF(AND(K$284&gt;=Assumptions!$G$24,K$284&lt;Assumptions!$G$26),'S&amp;U'!$I43/ROUNDUP(Assumptions!$G$25/12,0),0))</f>
        <v>0</v>
      </c>
      <c r="L289" s="151">
        <f>+IF(AND(L$284&gt;=Assumptions!$G$22,L$284&lt;Assumptions!$G$24),'S&amp;U'!$I11/ROUNDUP(Assumptions!$G$23/12,0),IF(AND(L$284&gt;=Assumptions!$G$24,L$284&lt;Assumptions!$G$26),'S&amp;U'!$I43/ROUNDUP(Assumptions!$G$25/12,0),0))</f>
        <v>0</v>
      </c>
      <c r="M289" s="151">
        <f>+IF(AND(M$284&gt;=Assumptions!$G$22,M$284&lt;Assumptions!$G$24),'S&amp;U'!$I11/ROUNDUP(Assumptions!$G$23/12,0),IF(AND(M$284&gt;=Assumptions!$G$24,M$284&lt;Assumptions!$G$26),'S&amp;U'!$I43/ROUNDUP(Assumptions!$G$25/12,0),0))</f>
        <v>0</v>
      </c>
      <c r="N289" s="151">
        <f>+IF(AND(N$284&gt;=Assumptions!$G$22,N$284&lt;Assumptions!$G$24),'S&amp;U'!$I11/ROUNDUP(Assumptions!$G$23/12,0),IF(AND(N$284&gt;=Assumptions!$G$24,N$284&lt;Assumptions!$G$26),'S&amp;U'!$I43/ROUNDUP(Assumptions!$G$25/12,0),0))</f>
        <v>0</v>
      </c>
      <c r="O289" s="151">
        <f>+IF(AND(O$284&gt;=Assumptions!$G$22,O$284&lt;Assumptions!$G$24),'S&amp;U'!$I11/ROUNDUP(Assumptions!$G$23/12,0),IF(AND(O$284&gt;=Assumptions!$G$24,O$284&lt;Assumptions!$G$26),'S&amp;U'!$I43/ROUNDUP(Assumptions!$G$25/12,0),0))</f>
        <v>0</v>
      </c>
      <c r="P289" s="151">
        <f>+IF(AND(P$284&gt;=Assumptions!$G$22,P$284&lt;Assumptions!$G$24),'S&amp;U'!$I11/ROUNDUP(Assumptions!$G$23/12,0),IF(AND(P$284&gt;=Assumptions!$G$24,P$284&lt;Assumptions!$G$26),'S&amp;U'!$I43/ROUNDUP(Assumptions!$G$25/12,0),0))</f>
        <v>0</v>
      </c>
      <c r="Q289" s="151">
        <f>+IF(AND(Q$284&gt;=Assumptions!$G$22,Q$284&lt;Assumptions!$G$24),'S&amp;U'!$I11/ROUNDUP(Assumptions!$G$23/12,0),IF(AND(Q$284&gt;=Assumptions!$G$24,Q$284&lt;Assumptions!$G$26),'S&amp;U'!$I43/ROUNDUP(Assumptions!$G$25/12,0),0))</f>
        <v>0</v>
      </c>
      <c r="R289" s="151">
        <f>+IF(AND(R$284&gt;=Assumptions!$G$22,R$284&lt;Assumptions!$G$24),'S&amp;U'!$I11/ROUNDUP(Assumptions!$G$23/12,0),IF(AND(R$284&gt;=Assumptions!$G$24,R$284&lt;Assumptions!$G$26),'S&amp;U'!$I43/ROUNDUP(Assumptions!$G$25/12,0),0))</f>
        <v>0</v>
      </c>
      <c r="S289" s="151">
        <f>+IF(AND(S$284&gt;=Assumptions!$G$22,S$284&lt;Assumptions!$G$24),'S&amp;U'!$I11/ROUNDUP(Assumptions!$G$23/12,0),IF(AND(S$284&gt;=Assumptions!$G$24,S$284&lt;Assumptions!$G$26),'S&amp;U'!$I43/ROUNDUP(Assumptions!$G$25/12,0),0))</f>
        <v>0</v>
      </c>
      <c r="T289" s="151">
        <f>+IF(AND(T$284&gt;=Assumptions!$G$22,T$284&lt;Assumptions!$G$24),'S&amp;U'!$I11/ROUNDUP(Assumptions!$G$23/12,0),IF(AND(T$284&gt;=Assumptions!$G$24,T$284&lt;Assumptions!$G$26),'S&amp;U'!$I43/ROUNDUP(Assumptions!$G$25/12,0),0))</f>
        <v>0</v>
      </c>
      <c r="U289" s="151">
        <f>+IF(AND(U$284&gt;=Assumptions!$G$22,U$284&lt;Assumptions!$G$24),'S&amp;U'!$I11/ROUNDUP(Assumptions!$G$23/12,0),IF(AND(U$284&gt;=Assumptions!$G$24,U$284&lt;Assumptions!$G$26),'S&amp;U'!$I43/ROUNDUP(Assumptions!$G$25/12,0),0))</f>
        <v>0</v>
      </c>
      <c r="V289" s="151">
        <f>+IF(AND(V$284&gt;=Assumptions!$G$22,V$284&lt;Assumptions!$G$24),'S&amp;U'!$I11/ROUNDUP(Assumptions!$G$23/12,0),IF(AND(V$284&gt;=Assumptions!$G$24,V$284&lt;Assumptions!$G$26),'S&amp;U'!$I43/ROUNDUP(Assumptions!$G$25/12,0),0))</f>
        <v>0</v>
      </c>
      <c r="W289" s="151">
        <f>+IF(AND(W$284&gt;=Assumptions!$G$22,W$284&lt;Assumptions!$G$24),'S&amp;U'!$I11/ROUNDUP(Assumptions!$G$23/12,0),IF(AND(W$284&gt;=Assumptions!$G$24,W$284&lt;Assumptions!$G$26),'S&amp;U'!$I43/ROUNDUP(Assumptions!$G$25/12,0),0))</f>
        <v>0</v>
      </c>
      <c r="X289" s="151">
        <f>+IF(AND(X$284&gt;=Assumptions!$G$22,X$284&lt;Assumptions!$G$24),'S&amp;U'!$I11/ROUNDUP(Assumptions!$G$23/12,0),IF(AND(X$284&gt;=Assumptions!$G$24,X$284&lt;Assumptions!$G$26),'S&amp;U'!$I43/ROUNDUP(Assumptions!$G$25/12,0),0))</f>
        <v>0</v>
      </c>
      <c r="Y289" s="151">
        <f>+IF(AND(Y$284&gt;=Assumptions!$G$22,Y$284&lt;Assumptions!$G$24),'S&amp;U'!$I11/ROUNDUP(Assumptions!$G$23/12,0),IF(AND(Y$284&gt;=Assumptions!$G$24,Y$284&lt;Assumptions!$G$26),'S&amp;U'!$I43/ROUNDUP(Assumptions!$G$25/12,0),0))</f>
        <v>0</v>
      </c>
      <c r="Z289" s="151">
        <f>+IF(AND(Z$284&gt;=Assumptions!$G$22,Z$284&lt;Assumptions!$G$24),'S&amp;U'!$I11/ROUNDUP(Assumptions!$G$23/12,0),IF(AND(Z$284&gt;=Assumptions!$G$24,Z$284&lt;Assumptions!$G$26),'S&amp;U'!$I43/ROUNDUP(Assumptions!$G$25/12,0),0))</f>
        <v>0</v>
      </c>
    </row>
    <row r="290" spans="1:26" x14ac:dyDescent="0.35">
      <c r="B290" s="33" t="s">
        <v>83</v>
      </c>
      <c r="D290" s="48">
        <f t="shared" ca="1" si="153"/>
        <v>444607.63224393112</v>
      </c>
      <c r="E290" s="48"/>
      <c r="F290" s="151">
        <f>+IF(AND(F$284&gt;=Assumptions!$G$22,F$284&lt;Assumptions!$G$24),'S&amp;U'!$I12/ROUNDUP(Assumptions!$G$23/12,0),IF(AND(F$284&gt;=Assumptions!$G$24,F$284&lt;Assumptions!$G$26),'S&amp;U'!$I44/ROUNDUP(Assumptions!$G$25/12,0),0))</f>
        <v>0</v>
      </c>
      <c r="G290" s="151">
        <f ca="1">+IF(AND(G$284&gt;=Assumptions!$G$22,G$284&lt;Assumptions!$G$24),'S&amp;U'!$I12/ROUNDUP(Assumptions!$G$23/12,0),IF(AND(G$284&gt;=Assumptions!$G$24,G$284&lt;Assumptions!$G$26),'S&amp;U'!$I44/ROUNDUP(Assumptions!$G$25/12,0),0))</f>
        <v>222303.81612196556</v>
      </c>
      <c r="H290" s="151">
        <f ca="1">+IF(AND(H$284&gt;=Assumptions!$G$22,H$284&lt;Assumptions!$G$24),'S&amp;U'!$I12/ROUNDUP(Assumptions!$G$23/12,0),IF(AND(H$284&gt;=Assumptions!$G$24,H$284&lt;Assumptions!$G$26),'S&amp;U'!$I44/ROUNDUP(Assumptions!$G$25/12,0),0))</f>
        <v>222303.81612196556</v>
      </c>
      <c r="I290" s="151">
        <f>+IF(AND(I$284&gt;=Assumptions!$G$22,I$284&lt;Assumptions!$G$24),'S&amp;U'!$I12/ROUNDUP(Assumptions!$G$23/12,0),IF(AND(I$284&gt;=Assumptions!$G$24,I$284&lt;Assumptions!$G$26),'S&amp;U'!$I44/ROUNDUP(Assumptions!$G$25/12,0),0))</f>
        <v>0</v>
      </c>
      <c r="J290" s="151">
        <f>+IF(AND(J$284&gt;=Assumptions!$G$22,J$284&lt;Assumptions!$G$24),'S&amp;U'!$I12/ROUNDUP(Assumptions!$G$23/12,0),IF(AND(J$284&gt;=Assumptions!$G$24,J$284&lt;Assumptions!$G$26),'S&amp;U'!$I44/ROUNDUP(Assumptions!$G$25/12,0),0))</f>
        <v>0</v>
      </c>
      <c r="K290" s="151">
        <f>+IF(AND(K$284&gt;=Assumptions!$G$22,K$284&lt;Assumptions!$G$24),'S&amp;U'!$I12/ROUNDUP(Assumptions!$G$23/12,0),IF(AND(K$284&gt;=Assumptions!$G$24,K$284&lt;Assumptions!$G$26),'S&amp;U'!$I44/ROUNDUP(Assumptions!$G$25/12,0),0))</f>
        <v>0</v>
      </c>
      <c r="L290" s="151">
        <f>+IF(AND(L$284&gt;=Assumptions!$G$22,L$284&lt;Assumptions!$G$24),'S&amp;U'!$I12/ROUNDUP(Assumptions!$G$23/12,0),IF(AND(L$284&gt;=Assumptions!$G$24,L$284&lt;Assumptions!$G$26),'S&amp;U'!$I44/ROUNDUP(Assumptions!$G$25/12,0),0))</f>
        <v>0</v>
      </c>
      <c r="M290" s="151">
        <f>+IF(AND(M$284&gt;=Assumptions!$G$22,M$284&lt;Assumptions!$G$24),'S&amp;U'!$I12/ROUNDUP(Assumptions!$G$23/12,0),IF(AND(M$284&gt;=Assumptions!$G$24,M$284&lt;Assumptions!$G$26),'S&amp;U'!$I44/ROUNDUP(Assumptions!$G$25/12,0),0))</f>
        <v>0</v>
      </c>
      <c r="N290" s="151">
        <f>+IF(AND(N$284&gt;=Assumptions!$G$22,N$284&lt;Assumptions!$G$24),'S&amp;U'!$I12/ROUNDUP(Assumptions!$G$23/12,0),IF(AND(N$284&gt;=Assumptions!$G$24,N$284&lt;Assumptions!$G$26),'S&amp;U'!$I44/ROUNDUP(Assumptions!$G$25/12,0),0))</f>
        <v>0</v>
      </c>
      <c r="O290" s="151">
        <f>+IF(AND(O$284&gt;=Assumptions!$G$22,O$284&lt;Assumptions!$G$24),'S&amp;U'!$I12/ROUNDUP(Assumptions!$G$23/12,0),IF(AND(O$284&gt;=Assumptions!$G$24,O$284&lt;Assumptions!$G$26),'S&amp;U'!$I44/ROUNDUP(Assumptions!$G$25/12,0),0))</f>
        <v>0</v>
      </c>
      <c r="P290" s="151">
        <f>+IF(AND(P$284&gt;=Assumptions!$G$22,P$284&lt;Assumptions!$G$24),'S&amp;U'!$I12/ROUNDUP(Assumptions!$G$23/12,0),IF(AND(P$284&gt;=Assumptions!$G$24,P$284&lt;Assumptions!$G$26),'S&amp;U'!$I44/ROUNDUP(Assumptions!$G$25/12,0),0))</f>
        <v>0</v>
      </c>
      <c r="Q290" s="151">
        <f>+IF(AND(Q$284&gt;=Assumptions!$G$22,Q$284&lt;Assumptions!$G$24),'S&amp;U'!$I12/ROUNDUP(Assumptions!$G$23/12,0),IF(AND(Q$284&gt;=Assumptions!$G$24,Q$284&lt;Assumptions!$G$26),'S&amp;U'!$I44/ROUNDUP(Assumptions!$G$25/12,0),0))</f>
        <v>0</v>
      </c>
      <c r="R290" s="151">
        <f>+IF(AND(R$284&gt;=Assumptions!$G$22,R$284&lt;Assumptions!$G$24),'S&amp;U'!$I12/ROUNDUP(Assumptions!$G$23/12,0),IF(AND(R$284&gt;=Assumptions!$G$24,R$284&lt;Assumptions!$G$26),'S&amp;U'!$I44/ROUNDUP(Assumptions!$G$25/12,0),0))</f>
        <v>0</v>
      </c>
      <c r="S290" s="151">
        <f>+IF(AND(S$284&gt;=Assumptions!$G$22,S$284&lt;Assumptions!$G$24),'S&amp;U'!$I12/ROUNDUP(Assumptions!$G$23/12,0),IF(AND(S$284&gt;=Assumptions!$G$24,S$284&lt;Assumptions!$G$26),'S&amp;U'!$I44/ROUNDUP(Assumptions!$G$25/12,0),0))</f>
        <v>0</v>
      </c>
      <c r="T290" s="151">
        <f>+IF(AND(T$284&gt;=Assumptions!$G$22,T$284&lt;Assumptions!$G$24),'S&amp;U'!$I12/ROUNDUP(Assumptions!$G$23/12,0),IF(AND(T$284&gt;=Assumptions!$G$24,T$284&lt;Assumptions!$G$26),'S&amp;U'!$I44/ROUNDUP(Assumptions!$G$25/12,0),0))</f>
        <v>0</v>
      </c>
      <c r="U290" s="151">
        <f>+IF(AND(U$284&gt;=Assumptions!$G$22,U$284&lt;Assumptions!$G$24),'S&amp;U'!$I12/ROUNDUP(Assumptions!$G$23/12,0),IF(AND(U$284&gt;=Assumptions!$G$24,U$284&lt;Assumptions!$G$26),'S&amp;U'!$I44/ROUNDUP(Assumptions!$G$25/12,0),0))</f>
        <v>0</v>
      </c>
      <c r="V290" s="151">
        <f>+IF(AND(V$284&gt;=Assumptions!$G$22,V$284&lt;Assumptions!$G$24),'S&amp;U'!$I12/ROUNDUP(Assumptions!$G$23/12,0),IF(AND(V$284&gt;=Assumptions!$G$24,V$284&lt;Assumptions!$G$26),'S&amp;U'!$I44/ROUNDUP(Assumptions!$G$25/12,0),0))</f>
        <v>0</v>
      </c>
      <c r="W290" s="151">
        <f>+IF(AND(W$284&gt;=Assumptions!$G$22,W$284&lt;Assumptions!$G$24),'S&amp;U'!$I12/ROUNDUP(Assumptions!$G$23/12,0),IF(AND(W$284&gt;=Assumptions!$G$24,W$284&lt;Assumptions!$G$26),'S&amp;U'!$I44/ROUNDUP(Assumptions!$G$25/12,0),0))</f>
        <v>0</v>
      </c>
      <c r="X290" s="151">
        <f>+IF(AND(X$284&gt;=Assumptions!$G$22,X$284&lt;Assumptions!$G$24),'S&amp;U'!$I12/ROUNDUP(Assumptions!$G$23/12,0),IF(AND(X$284&gt;=Assumptions!$G$24,X$284&lt;Assumptions!$G$26),'S&amp;U'!$I44/ROUNDUP(Assumptions!$G$25/12,0),0))</f>
        <v>0</v>
      </c>
      <c r="Y290" s="151">
        <f>+IF(AND(Y$284&gt;=Assumptions!$G$22,Y$284&lt;Assumptions!$G$24),'S&amp;U'!$I12/ROUNDUP(Assumptions!$G$23/12,0),IF(AND(Y$284&gt;=Assumptions!$G$24,Y$284&lt;Assumptions!$G$26),'S&amp;U'!$I44/ROUNDUP(Assumptions!$G$25/12,0),0))</f>
        <v>0</v>
      </c>
      <c r="Z290" s="151">
        <f>+IF(AND(Z$284&gt;=Assumptions!$G$22,Z$284&lt;Assumptions!$G$24),'S&amp;U'!$I12/ROUNDUP(Assumptions!$G$23/12,0),IF(AND(Z$284&gt;=Assumptions!$G$24,Z$284&lt;Assumptions!$G$26),'S&amp;U'!$I44/ROUNDUP(Assumptions!$G$25/12,0),0))</f>
        <v>0</v>
      </c>
    </row>
    <row r="291" spans="1:26" x14ac:dyDescent="0.35">
      <c r="B291" s="33" t="s">
        <v>60</v>
      </c>
      <c r="D291" s="48">
        <f t="shared" ca="1" si="153"/>
        <v>6434689.4432007801</v>
      </c>
      <c r="E291" s="48"/>
      <c r="F291" s="151">
        <f ca="1">+IF(AND(F$284&gt;=Assumptions!$G$22,F$284&lt;Assumptions!$G$24),'S&amp;U'!$I13/ROUNDUP(Assumptions!$G$23/12,0),IF(AND(F$284&gt;=Assumptions!$G$24,F$284&lt;Assumptions!$G$28),'S&amp;U'!$I45/ROUNDUP((Assumptions!$G$25+Assumptions!$G$27)/12,0),0))</f>
        <v>0</v>
      </c>
      <c r="G291" s="151">
        <f ca="1">+IF(AND(G$284&gt;=Assumptions!$G$22,G$284&lt;Assumptions!$G$24),'S&amp;U'!$I13/ROUNDUP(Assumptions!$G$23/12,0),IF(AND(G$284&gt;=Assumptions!$G$24,G$284&lt;Assumptions!$G$28),'S&amp;U'!$I45/ROUNDUP((Assumptions!$G$25+Assumptions!$G$27)/12,0),0))</f>
        <v>1608672.360800195</v>
      </c>
      <c r="H291" s="151">
        <f ca="1">+IF(AND(H$284&gt;=Assumptions!$G$22,H$284&lt;Assumptions!$G$24),'S&amp;U'!$I13/ROUNDUP(Assumptions!$G$23/12,0),IF(AND(H$284&gt;=Assumptions!$G$24,H$284&lt;Assumptions!$G$28),'S&amp;U'!$I45/ROUNDUP((Assumptions!$G$25+Assumptions!$G$27)/12,0),0))</f>
        <v>1608672.360800195</v>
      </c>
      <c r="I291" s="151">
        <f ca="1">+IF(AND(I$284&gt;=Assumptions!$G$22,I$284&lt;Assumptions!$G$24),'S&amp;U'!$I13/ROUNDUP(Assumptions!$G$23/12,0),IF(AND(I$284&gt;=Assumptions!$G$24,I$284&lt;Assumptions!$G$28),'S&amp;U'!$I45/ROUNDUP((Assumptions!$G$25+Assumptions!$G$27)/12,0),0))</f>
        <v>1608672.360800195</v>
      </c>
      <c r="J291" s="151">
        <f ca="1">+IF(AND(J$284&gt;=Assumptions!$G$22,J$284&lt;Assumptions!$G$24),'S&amp;U'!$I13/ROUNDUP(Assumptions!$G$23/12,0),IF(AND(J$284&gt;=Assumptions!$G$24,J$284&lt;Assumptions!$G$28),'S&amp;U'!$I45/ROUNDUP((Assumptions!$G$25+Assumptions!$G$27)/12,0),0))</f>
        <v>1608672.360800195</v>
      </c>
      <c r="K291" s="151">
        <f>+IF(AND(K$284&gt;=Assumptions!$G$22,K$284&lt;Assumptions!$G$24),'S&amp;U'!$I13/ROUNDUP(Assumptions!$G$23/12,0),IF(AND(K$284&gt;=Assumptions!$G$24,K$284&lt;Assumptions!$G$28),'S&amp;U'!$I45/ROUNDUP((Assumptions!$G$25+Assumptions!$G$27)/12,0),0))</f>
        <v>0</v>
      </c>
      <c r="L291" s="151">
        <f>+IF(AND(L$284&gt;=Assumptions!$G$22,L$284&lt;Assumptions!$G$24),'S&amp;U'!$I13/ROUNDUP(Assumptions!$G$23/12,0),IF(AND(L$284&gt;=Assumptions!$G$24,L$284&lt;Assumptions!$G$28),'S&amp;U'!$I45/ROUNDUP((Assumptions!$G$25+Assumptions!$G$27)/12,0),0))</f>
        <v>0</v>
      </c>
      <c r="M291" s="151">
        <f>+IF(AND(M$284&gt;=Assumptions!$G$22,M$284&lt;Assumptions!$G$24),'S&amp;U'!$I13/ROUNDUP(Assumptions!$G$23/12,0),IF(AND(M$284&gt;=Assumptions!$G$24,M$284&lt;Assumptions!$G$28),'S&amp;U'!$I45/ROUNDUP((Assumptions!$G$25+Assumptions!$G$27)/12,0),0))</f>
        <v>0</v>
      </c>
      <c r="N291" s="151">
        <f>+IF(AND(N$284&gt;=Assumptions!$G$22,N$284&lt;Assumptions!$G$24),'S&amp;U'!$I13/ROUNDUP(Assumptions!$G$23/12,0),IF(AND(N$284&gt;=Assumptions!$G$24,N$284&lt;Assumptions!$G$28),'S&amp;U'!$I45/ROUNDUP((Assumptions!$G$25+Assumptions!$G$27)/12,0),0))</f>
        <v>0</v>
      </c>
      <c r="O291" s="151">
        <f>+IF(AND(O$284&gt;=Assumptions!$G$22,O$284&lt;Assumptions!$G$24),'S&amp;U'!$I13/ROUNDUP(Assumptions!$G$23/12,0),IF(AND(O$284&gt;=Assumptions!$G$24,O$284&lt;Assumptions!$G$28),'S&amp;U'!$I45/ROUNDUP((Assumptions!$G$25+Assumptions!$G$27)/12,0),0))</f>
        <v>0</v>
      </c>
      <c r="P291" s="151">
        <f>+IF(AND(P$284&gt;=Assumptions!$G$22,P$284&lt;Assumptions!$G$24),'S&amp;U'!$I13/ROUNDUP(Assumptions!$G$23/12,0),IF(AND(P$284&gt;=Assumptions!$G$24,P$284&lt;Assumptions!$G$28),'S&amp;U'!$I45/ROUNDUP((Assumptions!$G$25+Assumptions!$G$27)/12,0),0))</f>
        <v>0</v>
      </c>
      <c r="Q291" s="151">
        <f>+IF(AND(Q$284&gt;=Assumptions!$G$22,Q$284&lt;Assumptions!$G$24),'S&amp;U'!$I13/ROUNDUP(Assumptions!$G$23/12,0),IF(AND(Q$284&gt;=Assumptions!$G$24,Q$284&lt;Assumptions!$G$28),'S&amp;U'!$I45/ROUNDUP((Assumptions!$G$25+Assumptions!$G$27)/12,0),0))</f>
        <v>0</v>
      </c>
      <c r="R291" s="151">
        <f>+IF(AND(R$284&gt;=Assumptions!$G$22,R$284&lt;Assumptions!$G$24),'S&amp;U'!$I13/ROUNDUP(Assumptions!$G$23/12,0),IF(AND(R$284&gt;=Assumptions!$G$24,R$284&lt;Assumptions!$G$28),'S&amp;U'!$I45/ROUNDUP((Assumptions!$G$25+Assumptions!$G$27)/12,0),0))</f>
        <v>0</v>
      </c>
      <c r="S291" s="151">
        <f>+IF(AND(S$284&gt;=Assumptions!$G$22,S$284&lt;Assumptions!$G$24),'S&amp;U'!$I13/ROUNDUP(Assumptions!$G$23/12,0),IF(AND(S$284&gt;=Assumptions!$G$24,S$284&lt;Assumptions!$G$28),'S&amp;U'!$I45/ROUNDUP((Assumptions!$G$25+Assumptions!$G$27)/12,0),0))</f>
        <v>0</v>
      </c>
      <c r="T291" s="151">
        <f>+IF(AND(T$284&gt;=Assumptions!$G$22,T$284&lt;Assumptions!$G$24),'S&amp;U'!$I13/ROUNDUP(Assumptions!$G$23/12,0),IF(AND(T$284&gt;=Assumptions!$G$24,T$284&lt;Assumptions!$G$28),'S&amp;U'!$I45/ROUNDUP((Assumptions!$G$25+Assumptions!$G$27)/12,0),0))</f>
        <v>0</v>
      </c>
      <c r="U291" s="151">
        <f>+IF(AND(U$284&gt;=Assumptions!$G$22,U$284&lt;Assumptions!$G$24),'S&amp;U'!$I13/ROUNDUP(Assumptions!$G$23/12,0),IF(AND(U$284&gt;=Assumptions!$G$24,U$284&lt;Assumptions!$G$28),'S&amp;U'!$I45/ROUNDUP((Assumptions!$G$25+Assumptions!$G$27)/12,0),0))</f>
        <v>0</v>
      </c>
      <c r="V291" s="151">
        <f>+IF(AND(V$284&gt;=Assumptions!$G$22,V$284&lt;Assumptions!$G$24),'S&amp;U'!$I13/ROUNDUP(Assumptions!$G$23/12,0),IF(AND(V$284&gt;=Assumptions!$G$24,V$284&lt;Assumptions!$G$28),'S&amp;U'!$I45/ROUNDUP((Assumptions!$G$25+Assumptions!$G$27)/12,0),0))</f>
        <v>0</v>
      </c>
      <c r="W291" s="151">
        <f>+IF(AND(W$284&gt;=Assumptions!$G$22,W$284&lt;Assumptions!$G$24),'S&amp;U'!$I13/ROUNDUP(Assumptions!$G$23/12,0),IF(AND(W$284&gt;=Assumptions!$G$24,W$284&lt;Assumptions!$G$28),'S&amp;U'!$I45/ROUNDUP((Assumptions!$G$25+Assumptions!$G$27)/12,0),0))</f>
        <v>0</v>
      </c>
      <c r="X291" s="151">
        <f>+IF(AND(X$284&gt;=Assumptions!$G$22,X$284&lt;Assumptions!$G$24),'S&amp;U'!$I13/ROUNDUP(Assumptions!$G$23/12,0),IF(AND(X$284&gt;=Assumptions!$G$24,X$284&lt;Assumptions!$G$28),'S&amp;U'!$I45/ROUNDUP((Assumptions!$G$25+Assumptions!$G$27)/12,0),0))</f>
        <v>0</v>
      </c>
      <c r="Y291" s="151">
        <f>+IF(AND(Y$284&gt;=Assumptions!$G$22,Y$284&lt;Assumptions!$G$24),'S&amp;U'!$I13/ROUNDUP(Assumptions!$G$23/12,0),IF(AND(Y$284&gt;=Assumptions!$G$24,Y$284&lt;Assumptions!$G$28),'S&amp;U'!$I45/ROUNDUP((Assumptions!$G$25+Assumptions!$G$27)/12,0),0))</f>
        <v>0</v>
      </c>
      <c r="Z291" s="151">
        <f>+IF(AND(Z$284&gt;=Assumptions!$G$22,Z$284&lt;Assumptions!$G$24),'S&amp;U'!$I13/ROUNDUP(Assumptions!$G$23/12,0),IF(AND(Z$284&gt;=Assumptions!$G$24,Z$284&lt;Assumptions!$G$28),'S&amp;U'!$I45/ROUNDUP((Assumptions!$G$25+Assumptions!$G$27)/12,0),0))</f>
        <v>0</v>
      </c>
    </row>
    <row r="292" spans="1:26" x14ac:dyDescent="0.35">
      <c r="B292" s="138" t="s">
        <v>20</v>
      </c>
      <c r="C292" s="138"/>
      <c r="D292" s="139">
        <f ca="1">+SUM(F292:Z292)</f>
        <v>221743310.65703633</v>
      </c>
      <c r="E292" s="139"/>
      <c r="F292" s="139">
        <f ca="1">+SUM(F285:F291)</f>
        <v>18868356.37705791</v>
      </c>
      <c r="G292" s="139">
        <f t="shared" ref="G292:Z292" ca="1" si="154">+SUM(G285:G291)</f>
        <v>99828804.779189005</v>
      </c>
      <c r="H292" s="139">
        <f t="shared" ca="1" si="154"/>
        <v>99828804.779189005</v>
      </c>
      <c r="I292" s="139">
        <f t="shared" ca="1" si="154"/>
        <v>1608672.360800195</v>
      </c>
      <c r="J292" s="139">
        <f t="shared" ca="1" si="154"/>
        <v>1608672.360800195</v>
      </c>
      <c r="K292" s="139">
        <f t="shared" si="154"/>
        <v>0</v>
      </c>
      <c r="L292" s="139">
        <f t="shared" si="154"/>
        <v>0</v>
      </c>
      <c r="M292" s="139">
        <f t="shared" si="154"/>
        <v>0</v>
      </c>
      <c r="N292" s="139">
        <f t="shared" si="154"/>
        <v>0</v>
      </c>
      <c r="O292" s="139">
        <f t="shared" si="154"/>
        <v>0</v>
      </c>
      <c r="P292" s="139">
        <f t="shared" si="154"/>
        <v>0</v>
      </c>
      <c r="Q292" s="139">
        <f t="shared" si="154"/>
        <v>0</v>
      </c>
      <c r="R292" s="139">
        <f t="shared" si="154"/>
        <v>0</v>
      </c>
      <c r="S292" s="139">
        <f t="shared" si="154"/>
        <v>0</v>
      </c>
      <c r="T292" s="139">
        <f t="shared" si="154"/>
        <v>0</v>
      </c>
      <c r="U292" s="139">
        <f t="shared" si="154"/>
        <v>0</v>
      </c>
      <c r="V292" s="139">
        <f t="shared" si="154"/>
        <v>0</v>
      </c>
      <c r="W292" s="139">
        <f t="shared" si="154"/>
        <v>0</v>
      </c>
      <c r="X292" s="139">
        <f t="shared" si="154"/>
        <v>0</v>
      </c>
      <c r="Y292" s="139">
        <f t="shared" si="154"/>
        <v>0</v>
      </c>
      <c r="Z292" s="139">
        <f t="shared" si="154"/>
        <v>0</v>
      </c>
    </row>
    <row r="294" spans="1:26" x14ac:dyDescent="0.35">
      <c r="B294" s="148" t="s">
        <v>353</v>
      </c>
      <c r="F294" s="150">
        <f>+Assumptions!$G$22</f>
        <v>44926</v>
      </c>
      <c r="G294" s="150">
        <f>+EOMONTH(F294,12)</f>
        <v>45291</v>
      </c>
      <c r="H294" s="150">
        <f t="shared" ref="H294:Z294" si="155">+EOMONTH(G294,12)</f>
        <v>45657</v>
      </c>
      <c r="I294" s="150">
        <f t="shared" si="155"/>
        <v>46022</v>
      </c>
      <c r="J294" s="150">
        <f t="shared" si="155"/>
        <v>46387</v>
      </c>
      <c r="K294" s="150">
        <f t="shared" si="155"/>
        <v>46752</v>
      </c>
      <c r="L294" s="150">
        <f t="shared" si="155"/>
        <v>47118</v>
      </c>
      <c r="M294" s="150">
        <f t="shared" si="155"/>
        <v>47483</v>
      </c>
      <c r="N294" s="150">
        <f t="shared" si="155"/>
        <v>47848</v>
      </c>
      <c r="O294" s="150">
        <f t="shared" si="155"/>
        <v>48213</v>
      </c>
      <c r="P294" s="150">
        <f t="shared" si="155"/>
        <v>48579</v>
      </c>
      <c r="Q294" s="150">
        <f t="shared" si="155"/>
        <v>48944</v>
      </c>
      <c r="R294" s="150">
        <f t="shared" si="155"/>
        <v>49309</v>
      </c>
      <c r="S294" s="150">
        <f t="shared" si="155"/>
        <v>49674</v>
      </c>
      <c r="T294" s="150">
        <f t="shared" si="155"/>
        <v>50040</v>
      </c>
      <c r="U294" s="150">
        <f t="shared" si="155"/>
        <v>50405</v>
      </c>
      <c r="V294" s="150">
        <f t="shared" si="155"/>
        <v>50770</v>
      </c>
      <c r="W294" s="150">
        <f t="shared" si="155"/>
        <v>51135</v>
      </c>
      <c r="X294" s="150">
        <f t="shared" si="155"/>
        <v>51501</v>
      </c>
      <c r="Y294" s="150">
        <f t="shared" si="155"/>
        <v>51866</v>
      </c>
      <c r="Z294" s="150">
        <f t="shared" si="155"/>
        <v>52231</v>
      </c>
    </row>
    <row r="295" spans="1:26" x14ac:dyDescent="0.35">
      <c r="A295" s="108"/>
      <c r="B295" s="33" t="s">
        <v>29</v>
      </c>
      <c r="D295" s="48">
        <f t="shared" ref="D295:D302" ca="1" si="156">+SUM(F295:Z295)</f>
        <v>36280072.373549581</v>
      </c>
      <c r="E295" s="48"/>
      <c r="F295" s="34">
        <f ca="1">+MIN('S&amp;U'!$I23-SUM('Phase II Pro Forma'!$E295:E295),'Phase II Pro Forma'!F$292)</f>
        <v>18868356.37705791</v>
      </c>
      <c r="G295" s="34">
        <f ca="1">+MIN('S&amp;U'!$I23-SUM('Phase II Pro Forma'!$E295:F295),'Phase II Pro Forma'!G$292)</f>
        <v>17411715.9964917</v>
      </c>
      <c r="H295" s="34">
        <f ca="1">+MIN('S&amp;U'!$I23-SUM('Phase II Pro Forma'!$E295:G295),'Phase II Pro Forma'!H$292)</f>
        <v>0</v>
      </c>
      <c r="I295" s="34">
        <f ca="1">+MIN('S&amp;U'!$I23-SUM('Phase II Pro Forma'!$E295:H295),'Phase II Pro Forma'!I$292)</f>
        <v>0</v>
      </c>
      <c r="J295" s="34">
        <f ca="1">+MIN('S&amp;U'!$I23-SUM('Phase II Pro Forma'!$E295:I295),'Phase II Pro Forma'!J$292)</f>
        <v>0</v>
      </c>
      <c r="K295" s="34">
        <f ca="1">+MIN('S&amp;U'!$I23-SUM('Phase II Pro Forma'!$E295:J295),'Phase II Pro Forma'!K$292)</f>
        <v>0</v>
      </c>
      <c r="L295" s="34">
        <f ca="1">+MIN('S&amp;U'!$I23-SUM('Phase II Pro Forma'!$E295:K295),'Phase II Pro Forma'!L$292)</f>
        <v>0</v>
      </c>
      <c r="M295" s="34">
        <f ca="1">+MIN('S&amp;U'!$I23-SUM('Phase II Pro Forma'!$E295:L295),'Phase II Pro Forma'!M$292)</f>
        <v>0</v>
      </c>
      <c r="N295" s="34">
        <f ca="1">+MIN('S&amp;U'!$I23-SUM('Phase II Pro Forma'!$E295:M295),'Phase II Pro Forma'!N$292)</f>
        <v>0</v>
      </c>
      <c r="O295" s="34">
        <f ca="1">+MIN('S&amp;U'!$I23-SUM('Phase II Pro Forma'!$E295:N295),'Phase II Pro Forma'!O$292)</f>
        <v>0</v>
      </c>
      <c r="P295" s="34">
        <f ca="1">+MIN('S&amp;U'!$I23-SUM('Phase II Pro Forma'!$E295:O295),'Phase II Pro Forma'!P$292)</f>
        <v>0</v>
      </c>
      <c r="Q295" s="34">
        <f ca="1">+MIN('S&amp;U'!$I23-SUM('Phase II Pro Forma'!$E295:P295),'Phase II Pro Forma'!Q$292)</f>
        <v>0</v>
      </c>
      <c r="R295" s="34">
        <f ca="1">+MIN('S&amp;U'!$I23-SUM('Phase II Pro Forma'!$E295:Q295),'Phase II Pro Forma'!R$292)</f>
        <v>0</v>
      </c>
      <c r="S295" s="34">
        <f ca="1">+MIN('S&amp;U'!$I23-SUM('Phase II Pro Forma'!$E295:R295),'Phase II Pro Forma'!S$292)</f>
        <v>0</v>
      </c>
      <c r="T295" s="34">
        <f ca="1">+MIN('S&amp;U'!$I23-SUM('Phase II Pro Forma'!$E295:S295),'Phase II Pro Forma'!T$292)</f>
        <v>0</v>
      </c>
      <c r="U295" s="34">
        <f ca="1">+MIN('S&amp;U'!$I23-SUM('Phase II Pro Forma'!$E295:T295),'Phase II Pro Forma'!U$292)</f>
        <v>0</v>
      </c>
      <c r="V295" s="34">
        <f ca="1">+MIN('S&amp;U'!$I23-SUM('Phase II Pro Forma'!$E295:U295),'Phase II Pro Forma'!V$292)</f>
        <v>0</v>
      </c>
      <c r="W295" s="34">
        <f ca="1">+MIN('S&amp;U'!$I23-SUM('Phase II Pro Forma'!$E295:V295),'Phase II Pro Forma'!W$292)</f>
        <v>0</v>
      </c>
      <c r="X295" s="34">
        <f ca="1">+MIN('S&amp;U'!$I23-SUM('Phase II Pro Forma'!$E295:W295),'Phase II Pro Forma'!X$292)</f>
        <v>0</v>
      </c>
      <c r="Y295" s="34">
        <f ca="1">+MIN('S&amp;U'!$I23-SUM('Phase II Pro Forma'!$E295:X295),'Phase II Pro Forma'!Y$292)</f>
        <v>0</v>
      </c>
      <c r="Z295" s="34">
        <f ca="1">+MIN('S&amp;U'!$I23-SUM('Phase II Pro Forma'!$E295:Y295),'Phase II Pro Forma'!Z$292)</f>
        <v>0</v>
      </c>
    </row>
    <row r="296" spans="1:26" x14ac:dyDescent="0.35">
      <c r="B296" s="33" t="s">
        <v>332</v>
      </c>
      <c r="D296" s="48">
        <f t="shared" ca="1" si="156"/>
        <v>0</v>
      </c>
      <c r="E296" s="48"/>
      <c r="F296" s="151">
        <f ca="1">+MIN('S&amp;U'!$I19-SUM('Phase II Pro Forma'!$E296:E296),'Phase II Pro Forma'!F$292-SUM(F$295:F295))</f>
        <v>0</v>
      </c>
      <c r="G296" s="151">
        <f ca="1">+MIN('S&amp;U'!$I19-SUM('Phase II Pro Forma'!$E296:F296),'Phase II Pro Forma'!G$292-SUM(G$295:G295))</f>
        <v>0</v>
      </c>
      <c r="H296" s="151">
        <f ca="1">+MIN('S&amp;U'!$I19-SUM('Phase II Pro Forma'!$E296:G296),'Phase II Pro Forma'!H$292-SUM(H$295:H295))</f>
        <v>0</v>
      </c>
      <c r="I296" s="151">
        <f ca="1">+MIN('S&amp;U'!$I19-SUM('Phase II Pro Forma'!$E296:H296),'Phase II Pro Forma'!I$292-SUM(I$295:I295))</f>
        <v>0</v>
      </c>
      <c r="J296" s="151">
        <f ca="1">+MIN('S&amp;U'!$I19-SUM('Phase II Pro Forma'!$E296:I296),'Phase II Pro Forma'!J$292-SUM(J$295:J295))</f>
        <v>0</v>
      </c>
      <c r="K296" s="151">
        <f ca="1">+MIN('S&amp;U'!$I19-SUM('Phase II Pro Forma'!$E296:J296),'Phase II Pro Forma'!K$292-SUM(K$295:K295))</f>
        <v>0</v>
      </c>
      <c r="L296" s="151">
        <f ca="1">+MIN('S&amp;U'!$I19-SUM('Phase II Pro Forma'!$E296:K296),'Phase II Pro Forma'!L$292-SUM(L$295:L295))</f>
        <v>0</v>
      </c>
      <c r="M296" s="151">
        <f ca="1">+MIN('S&amp;U'!$I19-SUM('Phase II Pro Forma'!$E296:L296),'Phase II Pro Forma'!M$292-SUM(M$295:M295))</f>
        <v>0</v>
      </c>
      <c r="N296" s="151">
        <f ca="1">+MIN('S&amp;U'!$I19-SUM('Phase II Pro Forma'!$E296:M296),'Phase II Pro Forma'!N$292-SUM(N$295:N295))</f>
        <v>0</v>
      </c>
      <c r="O296" s="151">
        <f ca="1">+MIN('S&amp;U'!$I19-SUM('Phase II Pro Forma'!$E296:N296),'Phase II Pro Forma'!O$292-SUM(O$295:O295))</f>
        <v>0</v>
      </c>
      <c r="P296" s="151">
        <f ca="1">+MIN('S&amp;U'!$I19-SUM('Phase II Pro Forma'!$E296:O296),'Phase II Pro Forma'!P$292-SUM(P$295:P295))</f>
        <v>0</v>
      </c>
      <c r="Q296" s="151">
        <f ca="1">+MIN('S&amp;U'!$I19-SUM('Phase II Pro Forma'!$E296:P296),'Phase II Pro Forma'!Q$292-SUM(Q$295:Q295))</f>
        <v>0</v>
      </c>
      <c r="R296" s="151">
        <f ca="1">+MIN('S&amp;U'!$I19-SUM('Phase II Pro Forma'!$E296:Q296),'Phase II Pro Forma'!R$292-SUM(R$295:R295))</f>
        <v>0</v>
      </c>
      <c r="S296" s="151">
        <f ca="1">+MIN('S&amp;U'!$I19-SUM('Phase II Pro Forma'!$E296:R296),'Phase II Pro Forma'!S$292-SUM(S$295:S295))</f>
        <v>0</v>
      </c>
      <c r="T296" s="151">
        <f ca="1">+MIN('S&amp;U'!$I19-SUM('Phase II Pro Forma'!$E296:S296),'Phase II Pro Forma'!T$292-SUM(T$295:T295))</f>
        <v>0</v>
      </c>
      <c r="U296" s="151">
        <f ca="1">+MIN('S&amp;U'!$I19-SUM('Phase II Pro Forma'!$E296:T296),'Phase II Pro Forma'!U$292-SUM(U$295:U295))</f>
        <v>0</v>
      </c>
      <c r="V296" s="151">
        <f ca="1">+MIN('S&amp;U'!$I19-SUM('Phase II Pro Forma'!$E296:U296),'Phase II Pro Forma'!V$292-SUM(V$295:V295))</f>
        <v>0</v>
      </c>
      <c r="W296" s="151">
        <f ca="1">+MIN('S&amp;U'!$I19-SUM('Phase II Pro Forma'!$E296:V296),'Phase II Pro Forma'!W$292-SUM(W$295:W295))</f>
        <v>0</v>
      </c>
      <c r="X296" s="151">
        <f ca="1">+MIN('S&amp;U'!$I19-SUM('Phase II Pro Forma'!$E296:W296),'Phase II Pro Forma'!X$292-SUM(X$295:X295))</f>
        <v>0</v>
      </c>
      <c r="Y296" s="151">
        <f ca="1">+MIN('S&amp;U'!$I19-SUM('Phase II Pro Forma'!$E296:X296),'Phase II Pro Forma'!Y$292-SUM(Y$295:Y295))</f>
        <v>0</v>
      </c>
      <c r="Z296" s="151">
        <f ca="1">+MIN('S&amp;U'!$I19-SUM('Phase II Pro Forma'!$E296:Y296),'Phase II Pro Forma'!Z$292-SUM(Z$295:Z295))</f>
        <v>0</v>
      </c>
    </row>
    <row r="297" spans="1:26" x14ac:dyDescent="0.35">
      <c r="B297" s="33" t="s">
        <v>99</v>
      </c>
      <c r="D297" s="48">
        <f t="shared" ca="1" si="156"/>
        <v>8832339.7304545473</v>
      </c>
      <c r="E297" s="48"/>
      <c r="F297" s="151">
        <f ca="1">+MIN('S&amp;U'!$I20-SUM('Phase II Pro Forma'!$E297:E297),'Phase II Pro Forma'!F$292-SUM(F$295:F296))</f>
        <v>0</v>
      </c>
      <c r="G297" s="151">
        <f ca="1">+MIN('S&amp;U'!$I20-SUM('Phase II Pro Forma'!$E297:F297),'Phase II Pro Forma'!G$292-SUM(G$295:G296))</f>
        <v>8832339.7304545473</v>
      </c>
      <c r="H297" s="151">
        <f ca="1">+MIN('S&amp;U'!$I20-SUM('Phase II Pro Forma'!$E297:G297),'Phase II Pro Forma'!H$292-SUM(H$295:H296))</f>
        <v>0</v>
      </c>
      <c r="I297" s="151">
        <f ca="1">+MIN('S&amp;U'!$I20-SUM('Phase II Pro Forma'!$E297:H297),'Phase II Pro Forma'!I$292-SUM(I$295:I296))</f>
        <v>0</v>
      </c>
      <c r="J297" s="151">
        <f ca="1">+MIN('S&amp;U'!$I20-SUM('Phase II Pro Forma'!$E297:I297),'Phase II Pro Forma'!J$292-SUM(J$295:J296))</f>
        <v>0</v>
      </c>
      <c r="K297" s="151">
        <f ca="1">+MIN('S&amp;U'!$I20-SUM('Phase II Pro Forma'!$E297:J297),'Phase II Pro Forma'!K$292-SUM(K$295:K296))</f>
        <v>0</v>
      </c>
      <c r="L297" s="151">
        <f ca="1">+MIN('S&amp;U'!$I20-SUM('Phase II Pro Forma'!$E297:K297),'Phase II Pro Forma'!L$292-SUM(L$295:L296))</f>
        <v>0</v>
      </c>
      <c r="M297" s="151">
        <f ca="1">+MIN('S&amp;U'!$I20-SUM('Phase II Pro Forma'!$E297:L297),'Phase II Pro Forma'!M$292-SUM(M$295:M296))</f>
        <v>0</v>
      </c>
      <c r="N297" s="151">
        <f ca="1">+MIN('S&amp;U'!$I20-SUM('Phase II Pro Forma'!$E297:M297),'Phase II Pro Forma'!N$292-SUM(N$295:N296))</f>
        <v>0</v>
      </c>
      <c r="O297" s="151">
        <f ca="1">+MIN('S&amp;U'!$I20-SUM('Phase II Pro Forma'!$E297:N297),'Phase II Pro Forma'!O$292-SUM(O$295:O296))</f>
        <v>0</v>
      </c>
      <c r="P297" s="151">
        <f ca="1">+MIN('S&amp;U'!$I20-SUM('Phase II Pro Forma'!$E297:O297),'Phase II Pro Forma'!P$292-SUM(P$295:P296))</f>
        <v>0</v>
      </c>
      <c r="Q297" s="151">
        <f ca="1">+MIN('S&amp;U'!$I20-SUM('Phase II Pro Forma'!$E297:P297),'Phase II Pro Forma'!Q$292-SUM(Q$295:Q296))</f>
        <v>0</v>
      </c>
      <c r="R297" s="151">
        <f ca="1">+MIN('S&amp;U'!$I20-SUM('Phase II Pro Forma'!$E297:Q297),'Phase II Pro Forma'!R$292-SUM(R$295:R296))</f>
        <v>0</v>
      </c>
      <c r="S297" s="151">
        <f ca="1">+MIN('S&amp;U'!$I20-SUM('Phase II Pro Forma'!$E297:R297),'Phase II Pro Forma'!S$292-SUM(S$295:S296))</f>
        <v>0</v>
      </c>
      <c r="T297" s="151">
        <f ca="1">+MIN('S&amp;U'!$I20-SUM('Phase II Pro Forma'!$E297:S297),'Phase II Pro Forma'!T$292-SUM(T$295:T296))</f>
        <v>0</v>
      </c>
      <c r="U297" s="151">
        <f ca="1">+MIN('S&amp;U'!$I20-SUM('Phase II Pro Forma'!$E297:T297),'Phase II Pro Forma'!U$292-SUM(U$295:U296))</f>
        <v>0</v>
      </c>
      <c r="V297" s="151">
        <f ca="1">+MIN('S&amp;U'!$I20-SUM('Phase II Pro Forma'!$E297:U297),'Phase II Pro Forma'!V$292-SUM(V$295:V296))</f>
        <v>0</v>
      </c>
      <c r="W297" s="151">
        <f ca="1">+MIN('S&amp;U'!$I20-SUM('Phase II Pro Forma'!$E297:V297),'Phase II Pro Forma'!W$292-SUM(W$295:W296))</f>
        <v>0</v>
      </c>
      <c r="X297" s="151">
        <f ca="1">+MIN('S&amp;U'!$I20-SUM('Phase II Pro Forma'!$E297:W297),'Phase II Pro Forma'!X$292-SUM(X$295:X296))</f>
        <v>0</v>
      </c>
      <c r="Y297" s="151">
        <f ca="1">+MIN('S&amp;U'!$I20-SUM('Phase II Pro Forma'!$E297:X297),'Phase II Pro Forma'!Y$292-SUM(Y$295:Y296))</f>
        <v>0</v>
      </c>
      <c r="Z297" s="151">
        <f ca="1">+MIN('S&amp;U'!$I20-SUM('Phase II Pro Forma'!$E297:Y297),'Phase II Pro Forma'!Z$292-SUM(Z$295:Z296))</f>
        <v>0</v>
      </c>
    </row>
    <row r="298" spans="1:26" x14ac:dyDescent="0.35">
      <c r="B298" s="33" t="s">
        <v>100</v>
      </c>
      <c r="D298" s="48">
        <f t="shared" ca="1" si="156"/>
        <v>6.2400000000000012E-5</v>
      </c>
      <c r="E298" s="48"/>
      <c r="F298" s="151">
        <f ca="1">+MIN('S&amp;U'!$I21-SUM('Phase II Pro Forma'!$E298:E298),'Phase II Pro Forma'!F$292-SUM(F$295:F297))</f>
        <v>0</v>
      </c>
      <c r="G298" s="151">
        <f ca="1">+MIN('S&amp;U'!$I21-SUM('Phase II Pro Forma'!$E298:F298),'Phase II Pro Forma'!G$292-SUM(G$295:G297))</f>
        <v>6.2400000000000012E-5</v>
      </c>
      <c r="H298" s="151">
        <f ca="1">+MIN('S&amp;U'!$I21-SUM('Phase II Pro Forma'!$E298:G298),'Phase II Pro Forma'!H$292-SUM(H$295:H297))</f>
        <v>0</v>
      </c>
      <c r="I298" s="151">
        <f ca="1">+MIN('S&amp;U'!$I21-SUM('Phase II Pro Forma'!$E298:H298),'Phase II Pro Forma'!I$292-SUM(I$295:I297))</f>
        <v>0</v>
      </c>
      <c r="J298" s="151">
        <f ca="1">+MIN('S&amp;U'!$I21-SUM('Phase II Pro Forma'!$E298:I298),'Phase II Pro Forma'!J$292-SUM(J$295:J297))</f>
        <v>0</v>
      </c>
      <c r="K298" s="151">
        <f ca="1">+MIN('S&amp;U'!$I21-SUM('Phase II Pro Forma'!$E298:J298),'Phase II Pro Forma'!K$292-SUM(K$295:K297))</f>
        <v>0</v>
      </c>
      <c r="L298" s="151">
        <f ca="1">+MIN('S&amp;U'!$I21-SUM('Phase II Pro Forma'!$E298:K298),'Phase II Pro Forma'!L$292-SUM(L$295:L297))</f>
        <v>0</v>
      </c>
      <c r="M298" s="151">
        <f ca="1">+MIN('S&amp;U'!$I21-SUM('Phase II Pro Forma'!$E298:L298),'Phase II Pro Forma'!M$292-SUM(M$295:M297))</f>
        <v>0</v>
      </c>
      <c r="N298" s="151">
        <f ca="1">+MIN('S&amp;U'!$I21-SUM('Phase II Pro Forma'!$E298:M298),'Phase II Pro Forma'!N$292-SUM(N$295:N297))</f>
        <v>0</v>
      </c>
      <c r="O298" s="151">
        <f ca="1">+MIN('S&amp;U'!$I21-SUM('Phase II Pro Forma'!$E298:N298),'Phase II Pro Forma'!O$292-SUM(O$295:O297))</f>
        <v>0</v>
      </c>
      <c r="P298" s="151">
        <f ca="1">+MIN('S&amp;U'!$I21-SUM('Phase II Pro Forma'!$E298:O298),'Phase II Pro Forma'!P$292-SUM(P$295:P297))</f>
        <v>0</v>
      </c>
      <c r="Q298" s="151">
        <f ca="1">+MIN('S&amp;U'!$I21-SUM('Phase II Pro Forma'!$E298:P298),'Phase II Pro Forma'!Q$292-SUM(Q$295:Q297))</f>
        <v>0</v>
      </c>
      <c r="R298" s="151">
        <f ca="1">+MIN('S&amp;U'!$I21-SUM('Phase II Pro Forma'!$E298:Q298),'Phase II Pro Forma'!R$292-SUM(R$295:R297))</f>
        <v>0</v>
      </c>
      <c r="S298" s="151">
        <f ca="1">+MIN('S&amp;U'!$I21-SUM('Phase II Pro Forma'!$E298:R298),'Phase II Pro Forma'!S$292-SUM(S$295:S297))</f>
        <v>0</v>
      </c>
      <c r="T298" s="151">
        <f ca="1">+MIN('S&amp;U'!$I21-SUM('Phase II Pro Forma'!$E298:S298),'Phase II Pro Forma'!T$292-SUM(T$295:T297))</f>
        <v>0</v>
      </c>
      <c r="U298" s="151">
        <f ca="1">+MIN('S&amp;U'!$I21-SUM('Phase II Pro Forma'!$E298:T298),'Phase II Pro Forma'!U$292-SUM(U$295:U297))</f>
        <v>0</v>
      </c>
      <c r="V298" s="151">
        <f ca="1">+MIN('S&amp;U'!$I21-SUM('Phase II Pro Forma'!$E298:U298),'Phase II Pro Forma'!V$292-SUM(V$295:V297))</f>
        <v>0</v>
      </c>
      <c r="W298" s="151">
        <f ca="1">+MIN('S&amp;U'!$I21-SUM('Phase II Pro Forma'!$E298:V298),'Phase II Pro Forma'!W$292-SUM(W$295:W297))</f>
        <v>0</v>
      </c>
      <c r="X298" s="151">
        <f ca="1">+MIN('S&amp;U'!$I21-SUM('Phase II Pro Forma'!$E298:W298),'Phase II Pro Forma'!X$292-SUM(X$295:X297))</f>
        <v>0</v>
      </c>
      <c r="Y298" s="151">
        <f ca="1">+MIN('S&amp;U'!$I21-SUM('Phase II Pro Forma'!$E298:X298),'Phase II Pro Forma'!Y$292-SUM(Y$295:Y297))</f>
        <v>0</v>
      </c>
      <c r="Z298" s="151">
        <f ca="1">+MIN('S&amp;U'!$I21-SUM('Phase II Pro Forma'!$E298:Y298),'Phase II Pro Forma'!Z$292-SUM(Z$295:Z297))</f>
        <v>0</v>
      </c>
    </row>
    <row r="299" spans="1:26" x14ac:dyDescent="0.35">
      <c r="B299" s="33" t="s">
        <v>620</v>
      </c>
      <c r="D299" s="48">
        <f t="shared" ref="D299" ca="1" si="157">+SUM(F299:Z299)</f>
        <v>0</v>
      </c>
      <c r="E299" s="48"/>
      <c r="F299" s="151">
        <f ca="1">+MIN('S&amp;U'!$I22-SUM('Phase II Pro Forma'!$E299:E299),'Phase II Pro Forma'!F$292-SUM(F$295:F298))</f>
        <v>0</v>
      </c>
      <c r="G299" s="151">
        <f ca="1">+MIN('S&amp;U'!$I22-SUM('Phase II Pro Forma'!$E299:F299),'Phase II Pro Forma'!G$292-SUM(G$295:G298))</f>
        <v>0</v>
      </c>
      <c r="H299" s="151">
        <f ca="1">+MIN('S&amp;U'!$I22-SUM('Phase II Pro Forma'!$E299:G299),'Phase II Pro Forma'!H$292-SUM(H$295:H298))</f>
        <v>0</v>
      </c>
      <c r="I299" s="151">
        <f ca="1">+MIN('S&amp;U'!$I22-SUM('Phase II Pro Forma'!$E299:H299),'Phase II Pro Forma'!I$292-SUM(I$295:I298))</f>
        <v>0</v>
      </c>
      <c r="J299" s="151">
        <f ca="1">+MIN('S&amp;U'!$I22-SUM('Phase II Pro Forma'!$E299:I299),'Phase II Pro Forma'!J$292-SUM(J$295:J298))</f>
        <v>0</v>
      </c>
      <c r="K299" s="151">
        <f ca="1">+MIN('S&amp;U'!$I22-SUM('Phase II Pro Forma'!$E299:J299),'Phase II Pro Forma'!K$292-SUM(K$295:K298))</f>
        <v>0</v>
      </c>
      <c r="L299" s="151">
        <f ca="1">+MIN('S&amp;U'!$I22-SUM('Phase II Pro Forma'!$E299:K299),'Phase II Pro Forma'!L$292-SUM(L$295:L298))</f>
        <v>0</v>
      </c>
      <c r="M299" s="151">
        <f ca="1">+MIN('S&amp;U'!$I22-SUM('Phase II Pro Forma'!$E299:L299),'Phase II Pro Forma'!M$292-SUM(M$295:M298))</f>
        <v>0</v>
      </c>
      <c r="N299" s="151">
        <f ca="1">+MIN('S&amp;U'!$I22-SUM('Phase II Pro Forma'!$E299:M299),'Phase II Pro Forma'!N$292-SUM(N$295:N298))</f>
        <v>0</v>
      </c>
      <c r="O299" s="151">
        <f ca="1">+MIN('S&amp;U'!$I22-SUM('Phase II Pro Forma'!$E299:N299),'Phase II Pro Forma'!O$292-SUM(O$295:O298))</f>
        <v>0</v>
      </c>
      <c r="P299" s="151">
        <f ca="1">+MIN('S&amp;U'!$I22-SUM('Phase II Pro Forma'!$E299:O299),'Phase II Pro Forma'!P$292-SUM(P$295:P298))</f>
        <v>0</v>
      </c>
      <c r="Q299" s="151">
        <f ca="1">+MIN('S&amp;U'!$I22-SUM('Phase II Pro Forma'!$E299:P299),'Phase II Pro Forma'!Q$292-SUM(Q$295:Q298))</f>
        <v>0</v>
      </c>
      <c r="R299" s="151">
        <f ca="1">+MIN('S&amp;U'!$I22-SUM('Phase II Pro Forma'!$E299:Q299),'Phase II Pro Forma'!R$292-SUM(R$295:R298))</f>
        <v>0</v>
      </c>
      <c r="S299" s="151">
        <f ca="1">+MIN('S&amp;U'!$I22-SUM('Phase II Pro Forma'!$E299:R299),'Phase II Pro Forma'!S$292-SUM(S$295:S298))</f>
        <v>0</v>
      </c>
      <c r="T299" s="151">
        <f ca="1">+MIN('S&amp;U'!$I22-SUM('Phase II Pro Forma'!$E299:S299),'Phase II Pro Forma'!T$292-SUM(T$295:T298))</f>
        <v>0</v>
      </c>
      <c r="U299" s="151">
        <f ca="1">+MIN('S&amp;U'!$I22-SUM('Phase II Pro Forma'!$E299:T299),'Phase II Pro Forma'!U$292-SUM(U$295:U298))</f>
        <v>0</v>
      </c>
      <c r="V299" s="151">
        <f ca="1">+MIN('S&amp;U'!$I22-SUM('Phase II Pro Forma'!$E299:U299),'Phase II Pro Forma'!V$292-SUM(V$295:V298))</f>
        <v>0</v>
      </c>
      <c r="W299" s="151">
        <f ca="1">+MIN('S&amp;U'!$I22-SUM('Phase II Pro Forma'!$E299:V299),'Phase II Pro Forma'!W$292-SUM(W$295:W298))</f>
        <v>0</v>
      </c>
      <c r="X299" s="151">
        <f ca="1">+MIN('S&amp;U'!$I22-SUM('Phase II Pro Forma'!$E299:W299),'Phase II Pro Forma'!X$292-SUM(X$295:X298))</f>
        <v>0</v>
      </c>
      <c r="Y299" s="151">
        <f ca="1">+MIN('S&amp;U'!$I22-SUM('Phase II Pro Forma'!$E299:X299),'Phase II Pro Forma'!Y$292-SUM(Y$295:Y298))</f>
        <v>0</v>
      </c>
      <c r="Z299" s="151">
        <f ca="1">+MIN('S&amp;U'!$I22-SUM('Phase II Pro Forma'!$E299:Y299),'Phase II Pro Forma'!Z$292-SUM(Z$295:Z298))</f>
        <v>0</v>
      </c>
    </row>
    <row r="300" spans="1:26" x14ac:dyDescent="0.35">
      <c r="A300" s="108"/>
      <c r="B300" s="33" t="s">
        <v>336</v>
      </c>
      <c r="D300" s="48">
        <f t="shared" ca="1" si="156"/>
        <v>133045986.39422178</v>
      </c>
      <c r="E300" s="48"/>
      <c r="F300" s="151">
        <f ca="1">+MIN('S&amp;U'!$I17-SUM('Phase II Pro Forma'!$E300:E300),'Phase II Pro Forma'!F$292-SUM(F$295:F299))</f>
        <v>0</v>
      </c>
      <c r="G300" s="151">
        <f ca="1">+MIN('S&amp;U'!$I17-SUM('Phase II Pro Forma'!$E300:F300),'Phase II Pro Forma'!G$292-SUM(G$295:G299))</f>
        <v>73584749.05218035</v>
      </c>
      <c r="H300" s="151">
        <f ca="1">+MIN('S&amp;U'!$I17-SUM('Phase II Pro Forma'!$E300:G300),'Phase II Pro Forma'!H$292-SUM(H$295:H299))</f>
        <v>59461237.342041433</v>
      </c>
      <c r="I300" s="151">
        <f ca="1">+MIN('S&amp;U'!$I17-SUM('Phase II Pro Forma'!$E300:H300),'Phase II Pro Forma'!I$292-SUM(I$295:I299))</f>
        <v>0</v>
      </c>
      <c r="J300" s="151">
        <f ca="1">+MIN('S&amp;U'!$I17-SUM('Phase II Pro Forma'!$E300:I300),'Phase II Pro Forma'!J$292-SUM(J$295:J299))</f>
        <v>0</v>
      </c>
      <c r="K300" s="151">
        <f ca="1">+MIN('S&amp;U'!$I17-SUM('Phase II Pro Forma'!$E300:J300),'Phase II Pro Forma'!K$292-SUM(K$295:K299))</f>
        <v>0</v>
      </c>
      <c r="L300" s="151">
        <f ca="1">+MIN('S&amp;U'!$I17-SUM('Phase II Pro Forma'!$E300:K300),'Phase II Pro Forma'!L$292-SUM(L$295:L299))</f>
        <v>0</v>
      </c>
      <c r="M300" s="151">
        <f ca="1">+MIN('S&amp;U'!$I17-SUM('Phase II Pro Forma'!$E300:L300),'Phase II Pro Forma'!M$292-SUM(M$295:M299))</f>
        <v>0</v>
      </c>
      <c r="N300" s="151">
        <f ca="1">+MIN('S&amp;U'!$I17-SUM('Phase II Pro Forma'!$E300:M300),'Phase II Pro Forma'!N$292-SUM(N$295:N299))</f>
        <v>0</v>
      </c>
      <c r="O300" s="151">
        <f ca="1">+MIN('S&amp;U'!$I17-SUM('Phase II Pro Forma'!$E300:N300),'Phase II Pro Forma'!O$292-SUM(O$295:O299))</f>
        <v>0</v>
      </c>
      <c r="P300" s="151">
        <f ca="1">+MIN('S&amp;U'!$I17-SUM('Phase II Pro Forma'!$E300:O300),'Phase II Pro Forma'!P$292-SUM(P$295:P299))</f>
        <v>0</v>
      </c>
      <c r="Q300" s="151">
        <f ca="1">+MIN('S&amp;U'!$I17-SUM('Phase II Pro Forma'!$E300:P300),'Phase II Pro Forma'!Q$292-SUM(Q$295:Q299))</f>
        <v>0</v>
      </c>
      <c r="R300" s="151">
        <f ca="1">+MIN('S&amp;U'!$I17-SUM('Phase II Pro Forma'!$E300:Q300),'Phase II Pro Forma'!R$292-SUM(R$295:R299))</f>
        <v>0</v>
      </c>
      <c r="S300" s="151">
        <f ca="1">+MIN('S&amp;U'!$I17-SUM('Phase II Pro Forma'!$E300:R300),'Phase II Pro Forma'!S$292-SUM(S$295:S299))</f>
        <v>0</v>
      </c>
      <c r="T300" s="151">
        <f ca="1">+MIN('S&amp;U'!$I17-SUM('Phase II Pro Forma'!$E300:S300),'Phase II Pro Forma'!T$292-SUM(T$295:T299))</f>
        <v>0</v>
      </c>
      <c r="U300" s="151">
        <f ca="1">+MIN('S&amp;U'!$I17-SUM('Phase II Pro Forma'!$E300:T300),'Phase II Pro Forma'!U$292-SUM(U$295:U299))</f>
        <v>0</v>
      </c>
      <c r="V300" s="151">
        <f ca="1">+MIN('S&amp;U'!$I17-SUM('Phase II Pro Forma'!$E300:U300),'Phase II Pro Forma'!V$292-SUM(V$295:V299))</f>
        <v>0</v>
      </c>
      <c r="W300" s="151">
        <f ca="1">+MIN('S&amp;U'!$I17-SUM('Phase II Pro Forma'!$E300:V300),'Phase II Pro Forma'!W$292-SUM(W$295:W299))</f>
        <v>0</v>
      </c>
      <c r="X300" s="151">
        <f ca="1">+MIN('S&amp;U'!$I17-SUM('Phase II Pro Forma'!$E300:W300),'Phase II Pro Forma'!X$292-SUM(X$295:X299))</f>
        <v>0</v>
      </c>
      <c r="Y300" s="151">
        <f ca="1">+MIN('S&amp;U'!$I17-SUM('Phase II Pro Forma'!$E300:X300),'Phase II Pro Forma'!Y$292-SUM(Y$295:Y299))</f>
        <v>0</v>
      </c>
      <c r="Z300" s="151">
        <f ca="1">+MIN('S&amp;U'!$I17-SUM('Phase II Pro Forma'!$E300:Y300),'Phase II Pro Forma'!Z$292-SUM(Z$295:Z299))</f>
        <v>0</v>
      </c>
    </row>
    <row r="301" spans="1:26" x14ac:dyDescent="0.35">
      <c r="A301" s="108"/>
      <c r="B301" s="33" t="s">
        <v>98</v>
      </c>
      <c r="D301" s="48">
        <f t="shared" ca="1" si="156"/>
        <v>43584912.158747993</v>
      </c>
      <c r="E301" s="48"/>
      <c r="F301" s="151">
        <f ca="1">+MIN('S&amp;U'!$I18-SUM('Phase II Pro Forma'!$E301:E301),'Phase II Pro Forma'!F$292-SUM(F$295:F300))</f>
        <v>0</v>
      </c>
      <c r="G301" s="151">
        <f ca="1">+MIN('S&amp;U'!$I18-SUM('Phase II Pro Forma'!$E301:F301),'Phase II Pro Forma'!G$292-SUM(G$295:G300))</f>
        <v>1.4901161193847656E-8</v>
      </c>
      <c r="H301" s="151">
        <f ca="1">+MIN('S&amp;U'!$I18-SUM('Phase II Pro Forma'!$E301:G301),'Phase II Pro Forma'!H$292-SUM(H$295:H300))</f>
        <v>40367567.437147573</v>
      </c>
      <c r="I301" s="151">
        <f ca="1">+MIN('S&amp;U'!$I18-SUM('Phase II Pro Forma'!$E301:H301),'Phase II Pro Forma'!I$292-SUM(I$295:I300))</f>
        <v>1608672.360800195</v>
      </c>
      <c r="J301" s="151">
        <f ca="1">+MIN('S&amp;U'!$I18-SUM('Phase II Pro Forma'!$E301:I301),'Phase II Pro Forma'!J$292-SUM(J$295:J300))</f>
        <v>1608672.360800195</v>
      </c>
      <c r="K301" s="151">
        <f ca="1">+MIN('S&amp;U'!$I18-SUM('Phase II Pro Forma'!$E301:J301),'Phase II Pro Forma'!K$292-SUM(K$295:K300))</f>
        <v>0</v>
      </c>
      <c r="L301" s="151">
        <f ca="1">+MIN('S&amp;U'!$I18-SUM('Phase II Pro Forma'!$E301:K301),'Phase II Pro Forma'!L$292-SUM(L$295:L300))</f>
        <v>0</v>
      </c>
      <c r="M301" s="151">
        <f ca="1">+MIN('S&amp;U'!$I18-SUM('Phase II Pro Forma'!$E301:L301),'Phase II Pro Forma'!M$292-SUM(M$295:M300))</f>
        <v>0</v>
      </c>
      <c r="N301" s="151">
        <f ca="1">+MIN('S&amp;U'!$I18-SUM('Phase II Pro Forma'!$E301:M301),'Phase II Pro Forma'!N$292-SUM(N$295:N300))</f>
        <v>0</v>
      </c>
      <c r="O301" s="151">
        <f ca="1">+MIN('S&amp;U'!$I18-SUM('Phase II Pro Forma'!$E301:N301),'Phase II Pro Forma'!O$292-SUM(O$295:O300))</f>
        <v>0</v>
      </c>
      <c r="P301" s="151">
        <f ca="1">+MIN('S&amp;U'!$I18-SUM('Phase II Pro Forma'!$E301:O301),'Phase II Pro Forma'!P$292-SUM(P$295:P300))</f>
        <v>0</v>
      </c>
      <c r="Q301" s="151">
        <f ca="1">+MIN('S&amp;U'!$I18-SUM('Phase II Pro Forma'!$E301:P301),'Phase II Pro Forma'!Q$292-SUM(Q$295:Q300))</f>
        <v>0</v>
      </c>
      <c r="R301" s="151">
        <f ca="1">+MIN('S&amp;U'!$I18-SUM('Phase II Pro Forma'!$E301:Q301),'Phase II Pro Forma'!R$292-SUM(R$295:R300))</f>
        <v>0</v>
      </c>
      <c r="S301" s="151">
        <f ca="1">+MIN('S&amp;U'!$I18-SUM('Phase II Pro Forma'!$E301:R301),'Phase II Pro Forma'!S$292-SUM(S$295:S300))</f>
        <v>0</v>
      </c>
      <c r="T301" s="151">
        <f ca="1">+MIN('S&amp;U'!$I18-SUM('Phase II Pro Forma'!$E301:S301),'Phase II Pro Forma'!T$292-SUM(T$295:T300))</f>
        <v>0</v>
      </c>
      <c r="U301" s="151">
        <f ca="1">+MIN('S&amp;U'!$I18-SUM('Phase II Pro Forma'!$E301:T301),'Phase II Pro Forma'!U$292-SUM(U$295:U300))</f>
        <v>0</v>
      </c>
      <c r="V301" s="151">
        <f ca="1">+MIN('S&amp;U'!$I18-SUM('Phase II Pro Forma'!$E301:U301),'Phase II Pro Forma'!V$292-SUM(V$295:V300))</f>
        <v>0</v>
      </c>
      <c r="W301" s="151">
        <f ca="1">+MIN('S&amp;U'!$I18-SUM('Phase II Pro Forma'!$E301:V301),'Phase II Pro Forma'!W$292-SUM(W$295:W300))</f>
        <v>0</v>
      </c>
      <c r="X301" s="151">
        <f ca="1">+MIN('S&amp;U'!$I18-SUM('Phase II Pro Forma'!$E301:W301),'Phase II Pro Forma'!X$292-SUM(X$295:X300))</f>
        <v>0</v>
      </c>
      <c r="Y301" s="151">
        <f ca="1">+MIN('S&amp;U'!$I18-SUM('Phase II Pro Forma'!$E301:X301),'Phase II Pro Forma'!Y$292-SUM(Y$295:Y300))</f>
        <v>0</v>
      </c>
      <c r="Z301" s="151">
        <f ca="1">+MIN('S&amp;U'!$I18-SUM('Phase II Pro Forma'!$E301:Y301),'Phase II Pro Forma'!Z$292-SUM(Z$295:Z300))</f>
        <v>0</v>
      </c>
    </row>
    <row r="302" spans="1:26" x14ac:dyDescent="0.35">
      <c r="B302" s="138" t="s">
        <v>383</v>
      </c>
      <c r="C302" s="138"/>
      <c r="D302" s="139">
        <f t="shared" ca="1" si="156"/>
        <v>221743310.6570363</v>
      </c>
      <c r="E302" s="139"/>
      <c r="F302" s="139">
        <f t="shared" ref="F302:Z302" ca="1" si="158">+SUM(F295:F301)</f>
        <v>18868356.37705791</v>
      </c>
      <c r="G302" s="139">
        <f t="shared" ca="1" si="158"/>
        <v>99828804.779189005</v>
      </c>
      <c r="H302" s="139">
        <f t="shared" ca="1" si="158"/>
        <v>99828804.779189005</v>
      </c>
      <c r="I302" s="139">
        <f t="shared" ca="1" si="158"/>
        <v>1608672.360800195</v>
      </c>
      <c r="J302" s="139">
        <f t="shared" ca="1" si="158"/>
        <v>1608672.360800195</v>
      </c>
      <c r="K302" s="139">
        <f t="shared" ca="1" si="158"/>
        <v>0</v>
      </c>
      <c r="L302" s="139">
        <f t="shared" ca="1" si="158"/>
        <v>0</v>
      </c>
      <c r="M302" s="139">
        <f t="shared" ca="1" si="158"/>
        <v>0</v>
      </c>
      <c r="N302" s="139">
        <f t="shared" ca="1" si="158"/>
        <v>0</v>
      </c>
      <c r="O302" s="139">
        <f t="shared" ca="1" si="158"/>
        <v>0</v>
      </c>
      <c r="P302" s="139">
        <f t="shared" ca="1" si="158"/>
        <v>0</v>
      </c>
      <c r="Q302" s="139">
        <f t="shared" ca="1" si="158"/>
        <v>0</v>
      </c>
      <c r="R302" s="139">
        <f t="shared" ca="1" si="158"/>
        <v>0</v>
      </c>
      <c r="S302" s="139">
        <f t="shared" ca="1" si="158"/>
        <v>0</v>
      </c>
      <c r="T302" s="139">
        <f t="shared" ca="1" si="158"/>
        <v>0</v>
      </c>
      <c r="U302" s="139">
        <f t="shared" ca="1" si="158"/>
        <v>0</v>
      </c>
      <c r="V302" s="139">
        <f t="shared" ca="1" si="158"/>
        <v>0</v>
      </c>
      <c r="W302" s="139">
        <f t="shared" ca="1" si="158"/>
        <v>0</v>
      </c>
      <c r="X302" s="139">
        <f t="shared" ca="1" si="158"/>
        <v>0</v>
      </c>
      <c r="Y302" s="139">
        <f t="shared" ca="1" si="158"/>
        <v>0</v>
      </c>
      <c r="Z302" s="139">
        <f t="shared" ca="1" si="158"/>
        <v>0</v>
      </c>
    </row>
    <row r="304" spans="1:26" x14ac:dyDescent="0.35">
      <c r="B304" s="33" t="s">
        <v>443</v>
      </c>
      <c r="D304" s="48">
        <f t="shared" ref="D304" ca="1" si="159">+SUM(F304:Z304)</f>
        <v>52417251.889264941</v>
      </c>
      <c r="F304" s="42">
        <f ca="1">+SUM(F296:F298,F301)</f>
        <v>0</v>
      </c>
      <c r="G304" s="42">
        <f t="shared" ref="G304:Z304" ca="1" si="160">+SUM(G296:G298,G301)</f>
        <v>8832339.7305169627</v>
      </c>
      <c r="H304" s="42">
        <f t="shared" ca="1" si="160"/>
        <v>40367567.437147573</v>
      </c>
      <c r="I304" s="42">
        <f t="shared" ca="1" si="160"/>
        <v>1608672.360800195</v>
      </c>
      <c r="J304" s="42">
        <f t="shared" ca="1" si="160"/>
        <v>1608672.360800195</v>
      </c>
      <c r="K304" s="42">
        <f t="shared" ca="1" si="160"/>
        <v>0</v>
      </c>
      <c r="L304" s="42">
        <f t="shared" ca="1" si="160"/>
        <v>0</v>
      </c>
      <c r="M304" s="42">
        <f t="shared" ca="1" si="160"/>
        <v>0</v>
      </c>
      <c r="N304" s="42">
        <f t="shared" ca="1" si="160"/>
        <v>0</v>
      </c>
      <c r="O304" s="42">
        <f t="shared" ca="1" si="160"/>
        <v>0</v>
      </c>
      <c r="P304" s="42">
        <f t="shared" ca="1" si="160"/>
        <v>0</v>
      </c>
      <c r="Q304" s="42">
        <f t="shared" ca="1" si="160"/>
        <v>0</v>
      </c>
      <c r="R304" s="42">
        <f t="shared" ca="1" si="160"/>
        <v>0</v>
      </c>
      <c r="S304" s="42">
        <f t="shared" ca="1" si="160"/>
        <v>0</v>
      </c>
      <c r="T304" s="42">
        <f t="shared" ca="1" si="160"/>
        <v>0</v>
      </c>
      <c r="U304" s="42">
        <f t="shared" ca="1" si="160"/>
        <v>0</v>
      </c>
      <c r="V304" s="42">
        <f t="shared" ca="1" si="160"/>
        <v>0</v>
      </c>
      <c r="W304" s="42">
        <f t="shared" ca="1" si="160"/>
        <v>0</v>
      </c>
      <c r="X304" s="42">
        <f t="shared" ca="1" si="160"/>
        <v>0</v>
      </c>
      <c r="Y304" s="42">
        <f t="shared" ca="1" si="160"/>
        <v>0</v>
      </c>
      <c r="Z304" s="42">
        <f t="shared" ca="1" si="160"/>
        <v>0</v>
      </c>
    </row>
    <row r="306" spans="2:26" x14ac:dyDescent="0.35">
      <c r="B306" s="148" t="s">
        <v>354</v>
      </c>
    </row>
    <row r="307" spans="2:26" x14ac:dyDescent="0.35">
      <c r="B307" s="33" t="s">
        <v>355</v>
      </c>
      <c r="D307" s="48">
        <f ca="1">+SUM(F307:Z307)</f>
        <v>-36280072.373549581</v>
      </c>
      <c r="E307" s="48"/>
      <c r="F307" s="34">
        <f t="shared" ref="F307:Z307" ca="1" si="161">-F295</f>
        <v>-18868356.37705791</v>
      </c>
      <c r="G307" s="34">
        <f t="shared" ca="1" si="161"/>
        <v>-17411715.9964917</v>
      </c>
      <c r="H307" s="34">
        <f t="shared" ca="1" si="161"/>
        <v>0</v>
      </c>
      <c r="I307" s="34">
        <f t="shared" ca="1" si="161"/>
        <v>0</v>
      </c>
      <c r="J307" s="34">
        <f t="shared" ca="1" si="161"/>
        <v>0</v>
      </c>
      <c r="K307" s="34">
        <f t="shared" ca="1" si="161"/>
        <v>0</v>
      </c>
      <c r="L307" s="34">
        <f t="shared" ca="1" si="161"/>
        <v>0</v>
      </c>
      <c r="M307" s="34">
        <f t="shared" ca="1" si="161"/>
        <v>0</v>
      </c>
      <c r="N307" s="34">
        <f t="shared" ca="1" si="161"/>
        <v>0</v>
      </c>
      <c r="O307" s="34">
        <f t="shared" ca="1" si="161"/>
        <v>0</v>
      </c>
      <c r="P307" s="34">
        <f t="shared" ca="1" si="161"/>
        <v>0</v>
      </c>
      <c r="Q307" s="34">
        <f t="shared" ca="1" si="161"/>
        <v>0</v>
      </c>
      <c r="R307" s="34">
        <f t="shared" ca="1" si="161"/>
        <v>0</v>
      </c>
      <c r="S307" s="34">
        <f t="shared" ca="1" si="161"/>
        <v>0</v>
      </c>
      <c r="T307" s="34">
        <f t="shared" ca="1" si="161"/>
        <v>0</v>
      </c>
      <c r="U307" s="34">
        <f t="shared" ca="1" si="161"/>
        <v>0</v>
      </c>
      <c r="V307" s="34">
        <f t="shared" ca="1" si="161"/>
        <v>0</v>
      </c>
      <c r="W307" s="34">
        <f t="shared" ca="1" si="161"/>
        <v>0</v>
      </c>
      <c r="X307" s="34">
        <f t="shared" ca="1" si="161"/>
        <v>0</v>
      </c>
      <c r="Y307" s="34">
        <f t="shared" ca="1" si="161"/>
        <v>0</v>
      </c>
      <c r="Z307" s="34">
        <f t="shared" ca="1" si="161"/>
        <v>0</v>
      </c>
    </row>
    <row r="308" spans="2:26" x14ac:dyDescent="0.35">
      <c r="B308" s="33" t="s">
        <v>356</v>
      </c>
      <c r="D308" s="48">
        <f t="shared" ref="D308" ca="1" si="162">+SUM(F308:Z308)</f>
        <v>148952692.99945784</v>
      </c>
      <c r="E308" s="48"/>
      <c r="F308" s="151">
        <f t="shared" ref="F308" ca="1" si="163">+F277</f>
        <v>0</v>
      </c>
      <c r="G308" s="151">
        <f ca="1">+G277</f>
        <v>0</v>
      </c>
      <c r="H308" s="151">
        <f t="shared" ref="H308:Z308" ca="1" si="164">+H277</f>
        <v>0</v>
      </c>
      <c r="I308" s="151">
        <f t="shared" ca="1" si="164"/>
        <v>18907188.828211531</v>
      </c>
      <c r="J308" s="151">
        <f t="shared" ca="1" si="164"/>
        <v>3047194.9531564033</v>
      </c>
      <c r="K308" s="151">
        <f t="shared" ca="1" si="164"/>
        <v>3480773.6680041822</v>
      </c>
      <c r="L308" s="151">
        <f t="shared" ca="1" si="164"/>
        <v>4385732.7590233833</v>
      </c>
      <c r="M308" s="151">
        <f t="shared" ca="1" si="164"/>
        <v>4624966.840634143</v>
      </c>
      <c r="N308" s="151">
        <f t="shared" ca="1" si="164"/>
        <v>114506835.95042831</v>
      </c>
      <c r="O308" s="151">
        <f t="shared" si="164"/>
        <v>0</v>
      </c>
      <c r="P308" s="151">
        <f t="shared" si="164"/>
        <v>0</v>
      </c>
      <c r="Q308" s="151">
        <f t="shared" si="164"/>
        <v>0</v>
      </c>
      <c r="R308" s="151">
        <f t="shared" si="164"/>
        <v>0</v>
      </c>
      <c r="S308" s="151">
        <f t="shared" si="164"/>
        <v>0</v>
      </c>
      <c r="T308" s="151">
        <f t="shared" si="164"/>
        <v>0</v>
      </c>
      <c r="U308" s="151">
        <f t="shared" si="164"/>
        <v>0</v>
      </c>
      <c r="V308" s="151">
        <f t="shared" si="164"/>
        <v>0</v>
      </c>
      <c r="W308" s="151">
        <f t="shared" si="164"/>
        <v>0</v>
      </c>
      <c r="X308" s="151">
        <f t="shared" si="164"/>
        <v>0</v>
      </c>
      <c r="Y308" s="151">
        <f t="shared" si="164"/>
        <v>0</v>
      </c>
      <c r="Z308" s="151">
        <f t="shared" si="164"/>
        <v>0</v>
      </c>
    </row>
    <row r="309" spans="2:26" x14ac:dyDescent="0.35">
      <c r="B309" s="138" t="s">
        <v>357</v>
      </c>
      <c r="C309" s="138"/>
      <c r="D309" s="139">
        <f ca="1">+SUM(F309:Z309)</f>
        <v>112672620.62590827</v>
      </c>
      <c r="E309" s="139"/>
      <c r="F309" s="139">
        <f ca="1">+SUM(F307:F308)</f>
        <v>-18868356.37705791</v>
      </c>
      <c r="G309" s="139">
        <f t="shared" ref="G309:Z309" ca="1" si="165">+SUM(G307:G308)</f>
        <v>-17411715.9964917</v>
      </c>
      <c r="H309" s="139">
        <f t="shared" ca="1" si="165"/>
        <v>0</v>
      </c>
      <c r="I309" s="139">
        <f t="shared" ca="1" si="165"/>
        <v>18907188.828211531</v>
      </c>
      <c r="J309" s="139">
        <f t="shared" ca="1" si="165"/>
        <v>3047194.9531564033</v>
      </c>
      <c r="K309" s="139">
        <f t="shared" ca="1" si="165"/>
        <v>3480773.6680041822</v>
      </c>
      <c r="L309" s="139">
        <f t="shared" ca="1" si="165"/>
        <v>4385732.7590233833</v>
      </c>
      <c r="M309" s="139">
        <f t="shared" ca="1" si="165"/>
        <v>4624966.840634143</v>
      </c>
      <c r="N309" s="139">
        <f t="shared" ca="1" si="165"/>
        <v>114506835.95042831</v>
      </c>
      <c r="O309" s="139">
        <f t="shared" ca="1" si="165"/>
        <v>0</v>
      </c>
      <c r="P309" s="139">
        <f t="shared" ca="1" si="165"/>
        <v>0</v>
      </c>
      <c r="Q309" s="139">
        <f t="shared" ca="1" si="165"/>
        <v>0</v>
      </c>
      <c r="R309" s="139">
        <f t="shared" ca="1" si="165"/>
        <v>0</v>
      </c>
      <c r="S309" s="139">
        <f t="shared" ca="1" si="165"/>
        <v>0</v>
      </c>
      <c r="T309" s="139">
        <f t="shared" ca="1" si="165"/>
        <v>0</v>
      </c>
      <c r="U309" s="139">
        <f t="shared" ca="1" si="165"/>
        <v>0</v>
      </c>
      <c r="V309" s="139">
        <f t="shared" ca="1" si="165"/>
        <v>0</v>
      </c>
      <c r="W309" s="139">
        <f t="shared" ca="1" si="165"/>
        <v>0</v>
      </c>
      <c r="X309" s="139">
        <f t="shared" ca="1" si="165"/>
        <v>0</v>
      </c>
      <c r="Y309" s="139">
        <f t="shared" ca="1" si="165"/>
        <v>0</v>
      </c>
      <c r="Z309" s="139">
        <f t="shared" ca="1" si="165"/>
        <v>0</v>
      </c>
    </row>
    <row r="311" spans="2:26" x14ac:dyDescent="0.35">
      <c r="B311" s="190" t="s">
        <v>361</v>
      </c>
      <c r="C311" s="190"/>
      <c r="D311" s="191">
        <f ca="1">+IRR(F309:Z309)</f>
        <v>0.25394836654862707</v>
      </c>
    </row>
    <row r="312" spans="2:26" x14ac:dyDescent="0.35">
      <c r="B312" s="141" t="s">
        <v>359</v>
      </c>
      <c r="C312" s="192"/>
      <c r="D312" s="142">
        <f ca="1">+SUM(F309:Z309)</f>
        <v>112672620.62590834</v>
      </c>
    </row>
    <row r="313" spans="2:26" x14ac:dyDescent="0.35">
      <c r="B313" s="194" t="s">
        <v>360</v>
      </c>
      <c r="C313" s="193"/>
      <c r="D313" s="195">
        <f ca="1">+D308/-D307</f>
        <v>4.1056338439956797</v>
      </c>
    </row>
    <row r="315" spans="2:26" x14ac:dyDescent="0.35">
      <c r="B315" s="37" t="s">
        <v>397</v>
      </c>
      <c r="C315" s="38"/>
      <c r="D315" s="38"/>
      <c r="E315" s="38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</row>
    <row r="317" spans="2:26" x14ac:dyDescent="0.35">
      <c r="B317" s="148" t="s">
        <v>251</v>
      </c>
      <c r="F317" s="150">
        <f>+F$294</f>
        <v>44926</v>
      </c>
      <c r="G317" s="150">
        <f t="shared" ref="G317:Z317" si="166">+G$294</f>
        <v>45291</v>
      </c>
      <c r="H317" s="150">
        <f t="shared" si="166"/>
        <v>45657</v>
      </c>
      <c r="I317" s="150">
        <f t="shared" si="166"/>
        <v>46022</v>
      </c>
      <c r="J317" s="150">
        <f t="shared" si="166"/>
        <v>46387</v>
      </c>
      <c r="K317" s="150">
        <f t="shared" si="166"/>
        <v>46752</v>
      </c>
      <c r="L317" s="150">
        <f t="shared" si="166"/>
        <v>47118</v>
      </c>
      <c r="M317" s="150">
        <f t="shared" si="166"/>
        <v>47483</v>
      </c>
      <c r="N317" s="150">
        <f t="shared" si="166"/>
        <v>47848</v>
      </c>
      <c r="O317" s="150">
        <f t="shared" si="166"/>
        <v>48213</v>
      </c>
      <c r="P317" s="150">
        <f t="shared" si="166"/>
        <v>48579</v>
      </c>
      <c r="Q317" s="150">
        <f t="shared" si="166"/>
        <v>48944</v>
      </c>
      <c r="R317" s="150">
        <f t="shared" si="166"/>
        <v>49309</v>
      </c>
      <c r="S317" s="150">
        <f t="shared" si="166"/>
        <v>49674</v>
      </c>
      <c r="T317" s="150">
        <f t="shared" si="166"/>
        <v>50040</v>
      </c>
      <c r="U317" s="150">
        <f t="shared" si="166"/>
        <v>50405</v>
      </c>
      <c r="V317" s="150">
        <f t="shared" si="166"/>
        <v>50770</v>
      </c>
      <c r="W317" s="150">
        <f t="shared" si="166"/>
        <v>51135</v>
      </c>
      <c r="X317" s="150">
        <f t="shared" si="166"/>
        <v>51501</v>
      </c>
      <c r="Y317" s="150">
        <f t="shared" si="166"/>
        <v>51866</v>
      </c>
      <c r="Z317" s="150">
        <f t="shared" si="166"/>
        <v>52231</v>
      </c>
    </row>
    <row r="318" spans="2:26" x14ac:dyDescent="0.35">
      <c r="B318" s="33" t="s">
        <v>777</v>
      </c>
      <c r="C318"/>
      <c r="D318"/>
      <c r="E318"/>
      <c r="F318" s="34">
        <f ca="1">+F$138</f>
        <v>0</v>
      </c>
      <c r="G318" s="34">
        <f t="shared" ref="G318:Z318" ca="1" si="167">+G$138</f>
        <v>0</v>
      </c>
      <c r="H318" s="34">
        <f t="shared" ca="1" si="167"/>
        <v>0</v>
      </c>
      <c r="I318" s="34">
        <f t="shared" ca="1" si="167"/>
        <v>5525544.624410158</v>
      </c>
      <c r="J318" s="34">
        <f t="shared" ca="1" si="167"/>
        <v>11201767.3119852</v>
      </c>
      <c r="K318" s="34">
        <f t="shared" ca="1" si="167"/>
        <v>11403435.464829812</v>
      </c>
      <c r="L318" s="34">
        <f t="shared" ca="1" si="167"/>
        <v>12212578.757939668</v>
      </c>
      <c r="M318" s="34">
        <f t="shared" ca="1" si="167"/>
        <v>12379583.089409325</v>
      </c>
      <c r="N318" s="34">
        <f t="shared" ca="1" si="167"/>
        <v>12598984.298541032</v>
      </c>
      <c r="O318" s="34">
        <f t="shared" ca="1" si="167"/>
        <v>12824641.957385866</v>
      </c>
      <c r="P318" s="34">
        <f t="shared" ca="1" si="167"/>
        <v>13009494.462040752</v>
      </c>
      <c r="Q318" s="34">
        <f t="shared" ca="1" si="167"/>
        <v>13910118.964295346</v>
      </c>
      <c r="R318" s="34">
        <f t="shared" ca="1" si="167"/>
        <v>14155654.440265195</v>
      </c>
      <c r="S318" s="34">
        <f t="shared" ca="1" si="167"/>
        <v>14360015.913773322</v>
      </c>
      <c r="T318" s="34">
        <f t="shared" ca="1" si="167"/>
        <v>14619782.028232915</v>
      </c>
      <c r="U318" s="34">
        <f t="shared" ca="1" si="167"/>
        <v>14886974.462777274</v>
      </c>
      <c r="V318" s="34">
        <f t="shared" ca="1" si="167"/>
        <v>15840752.8823712</v>
      </c>
      <c r="W318" s="34">
        <f t="shared" ca="1" si="167"/>
        <v>16123450.643116511</v>
      </c>
      <c r="X318" s="34">
        <f t="shared" ca="1" si="167"/>
        <v>16414240.230604894</v>
      </c>
      <c r="Y318" s="34">
        <f t="shared" ca="1" si="167"/>
        <v>16663222.19542893</v>
      </c>
      <c r="Z318" s="34">
        <f t="shared" ca="1" si="167"/>
        <v>16970907.247983564</v>
      </c>
    </row>
    <row r="319" spans="2:26" x14ac:dyDescent="0.35">
      <c r="B319" s="33" t="s">
        <v>778</v>
      </c>
      <c r="C319"/>
      <c r="D319"/>
      <c r="E319"/>
      <c r="F319" s="151">
        <f ca="1">+F$206</f>
        <v>0</v>
      </c>
      <c r="G319" s="151">
        <f t="shared" ref="G319:Z319" ca="1" si="168">+G$206</f>
        <v>0</v>
      </c>
      <c r="H319" s="151">
        <f t="shared" ca="1" si="168"/>
        <v>0</v>
      </c>
      <c r="I319" s="151">
        <f t="shared" ca="1" si="168"/>
        <v>1421277.6385162857</v>
      </c>
      <c r="J319" s="151">
        <f t="shared" ca="1" si="168"/>
        <v>3283761.147143777</v>
      </c>
      <c r="K319" s="151">
        <f t="shared" ca="1" si="168"/>
        <v>3515671.7091469439</v>
      </c>
      <c r="L319" s="151">
        <f t="shared" ca="1" si="168"/>
        <v>3611487.5070551145</v>
      </c>
      <c r="M319" s="151">
        <f t="shared" ca="1" si="168"/>
        <v>3683717.2571962182</v>
      </c>
      <c r="N319" s="151">
        <f t="shared" ca="1" si="168"/>
        <v>3783404.0133398795</v>
      </c>
      <c r="O319" s="151">
        <f t="shared" ca="1" si="168"/>
        <v>3885084.5046064141</v>
      </c>
      <c r="P319" s="151">
        <f t="shared" ca="1" si="168"/>
        <v>3962786.1946985382</v>
      </c>
      <c r="Q319" s="151">
        <f t="shared" ca="1" si="168"/>
        <v>4068574.5778122414</v>
      </c>
      <c r="R319" s="151">
        <f t="shared" ca="1" si="168"/>
        <v>4176478.7285882165</v>
      </c>
      <c r="S319" s="151">
        <f t="shared" ca="1" si="168"/>
        <v>4260008.303159981</v>
      </c>
      <c r="T319" s="151">
        <f t="shared" ca="1" si="168"/>
        <v>4372271.7816273049</v>
      </c>
      <c r="U319" s="151">
        <f t="shared" ca="1" si="168"/>
        <v>4486780.5296639763</v>
      </c>
      <c r="V319" s="151">
        <f t="shared" ca="1" si="168"/>
        <v>4576516.140257258</v>
      </c>
      <c r="W319" s="151">
        <f t="shared" ca="1" si="168"/>
        <v>4695651.0417146124</v>
      </c>
      <c r="X319" s="151">
        <f t="shared" ca="1" si="168"/>
        <v>4817168.6412011087</v>
      </c>
      <c r="Y319" s="151">
        <f t="shared" ca="1" si="168"/>
        <v>4913512.014025135</v>
      </c>
      <c r="Z319" s="151">
        <f t="shared" ca="1" si="168"/>
        <v>5039938.9245308889</v>
      </c>
    </row>
    <row r="320" spans="2:26" x14ac:dyDescent="0.35">
      <c r="B320" s="33" t="s">
        <v>779</v>
      </c>
      <c r="C320"/>
      <c r="D320"/>
      <c r="E320"/>
      <c r="F320" s="151">
        <f ca="1">+F$251</f>
        <v>0</v>
      </c>
      <c r="G320" s="151">
        <f t="shared" ref="G320:Z320" ca="1" si="169">+G$251</f>
        <v>0</v>
      </c>
      <c r="H320" s="151">
        <f t="shared" ca="1" si="169"/>
        <v>0</v>
      </c>
      <c r="I320" s="151">
        <f t="shared" ca="1" si="169"/>
        <v>5.8678559999999998E-6</v>
      </c>
      <c r="J320" s="151">
        <f t="shared" ca="1" si="169"/>
        <v>1.1735712E-5</v>
      </c>
      <c r="K320" s="151">
        <f t="shared" ca="1" si="169"/>
        <v>1.1735712E-5</v>
      </c>
      <c r="L320" s="151">
        <f t="shared" ca="1" si="169"/>
        <v>1.2909283200000002E-5</v>
      </c>
      <c r="M320" s="151">
        <f t="shared" ca="1" si="169"/>
        <v>1.29092832E-5</v>
      </c>
      <c r="N320" s="151">
        <f t="shared" ca="1" si="169"/>
        <v>1.2909283200000002E-5</v>
      </c>
      <c r="O320" s="151">
        <f t="shared" ca="1" si="169"/>
        <v>1.2909283200000002E-5</v>
      </c>
      <c r="P320" s="151">
        <f t="shared" ca="1" si="169"/>
        <v>1.29092832E-5</v>
      </c>
      <c r="Q320" s="151">
        <f t="shared" ca="1" si="169"/>
        <v>1.4200211520000003E-5</v>
      </c>
      <c r="R320" s="151">
        <f t="shared" ca="1" si="169"/>
        <v>1.4200211520000001E-5</v>
      </c>
      <c r="S320" s="151">
        <f t="shared" ca="1" si="169"/>
        <v>1.4200211520000003E-5</v>
      </c>
      <c r="T320" s="151">
        <f t="shared" ca="1" si="169"/>
        <v>1.4200211520000005E-5</v>
      </c>
      <c r="U320" s="151">
        <f t="shared" ca="1" si="169"/>
        <v>1.4200211520000001E-5</v>
      </c>
      <c r="V320" s="151">
        <f t="shared" ca="1" si="169"/>
        <v>1.5620232672000003E-5</v>
      </c>
      <c r="W320" s="151">
        <f t="shared" ca="1" si="169"/>
        <v>1.5620232672E-5</v>
      </c>
      <c r="X320" s="151">
        <f t="shared" ca="1" si="169"/>
        <v>1.5620232672000003E-5</v>
      </c>
      <c r="Y320" s="151">
        <f t="shared" ca="1" si="169"/>
        <v>1.5620232672000003E-5</v>
      </c>
      <c r="Z320" s="151">
        <f t="shared" ca="1" si="169"/>
        <v>1.5620232672000003E-5</v>
      </c>
    </row>
    <row r="321" spans="2:26" x14ac:dyDescent="0.35">
      <c r="B321" s="138" t="s">
        <v>251</v>
      </c>
      <c r="C321" s="138"/>
      <c r="D321" s="139"/>
      <c r="E321" s="139"/>
      <c r="F321" s="139">
        <f t="shared" ref="F321:Z321" ca="1" si="170">+SUM(F318:F320)</f>
        <v>0</v>
      </c>
      <c r="G321" s="139">
        <f t="shared" ca="1" si="170"/>
        <v>0</v>
      </c>
      <c r="H321" s="139">
        <f t="shared" ca="1" si="170"/>
        <v>0</v>
      </c>
      <c r="I321" s="139">
        <f t="shared" ca="1" si="170"/>
        <v>6946822.2629323117</v>
      </c>
      <c r="J321" s="139">
        <f t="shared" ca="1" si="170"/>
        <v>14485528.459140714</v>
      </c>
      <c r="K321" s="139">
        <f t="shared" ca="1" si="170"/>
        <v>14919107.173988493</v>
      </c>
      <c r="L321" s="139">
        <f t="shared" ca="1" si="170"/>
        <v>15824066.265007693</v>
      </c>
      <c r="M321" s="139">
        <f t="shared" ca="1" si="170"/>
        <v>16063300.346618453</v>
      </c>
      <c r="N321" s="139">
        <f t="shared" ca="1" si="170"/>
        <v>16382388.311893821</v>
      </c>
      <c r="O321" s="139">
        <f t="shared" ca="1" si="170"/>
        <v>16709726.462005191</v>
      </c>
      <c r="P321" s="139">
        <f t="shared" ca="1" si="170"/>
        <v>16972280.656752199</v>
      </c>
      <c r="Q321" s="139">
        <f t="shared" ca="1" si="170"/>
        <v>17978693.54212179</v>
      </c>
      <c r="R321" s="139">
        <f t="shared" ca="1" si="170"/>
        <v>18332133.168867614</v>
      </c>
      <c r="S321" s="139">
        <f t="shared" ca="1" si="170"/>
        <v>18620024.216947503</v>
      </c>
      <c r="T321" s="139">
        <f t="shared" ca="1" si="170"/>
        <v>18992053.809874423</v>
      </c>
      <c r="U321" s="139">
        <f t="shared" ca="1" si="170"/>
        <v>19373754.992455453</v>
      </c>
      <c r="V321" s="139">
        <f t="shared" ca="1" si="170"/>
        <v>20417269.022644076</v>
      </c>
      <c r="W321" s="139">
        <f t="shared" ca="1" si="170"/>
        <v>20819101.684846744</v>
      </c>
      <c r="X321" s="139">
        <f t="shared" ca="1" si="170"/>
        <v>21231408.871821623</v>
      </c>
      <c r="Y321" s="139">
        <f t="shared" ca="1" si="170"/>
        <v>21576734.209469687</v>
      </c>
      <c r="Z321" s="139">
        <f t="shared" ca="1" si="170"/>
        <v>22010846.172530074</v>
      </c>
    </row>
    <row r="323" spans="2:26" x14ac:dyDescent="0.35">
      <c r="B323" s="148" t="s">
        <v>152</v>
      </c>
      <c r="F323" s="150">
        <f>+F$294</f>
        <v>44926</v>
      </c>
      <c r="G323" s="150">
        <f t="shared" ref="G323:Z323" si="171">+G$294</f>
        <v>45291</v>
      </c>
      <c r="H323" s="150">
        <f t="shared" si="171"/>
        <v>45657</v>
      </c>
      <c r="I323" s="150">
        <f t="shared" si="171"/>
        <v>46022</v>
      </c>
      <c r="J323" s="150">
        <f t="shared" si="171"/>
        <v>46387</v>
      </c>
      <c r="K323" s="150">
        <f t="shared" si="171"/>
        <v>46752</v>
      </c>
      <c r="L323" s="150">
        <f t="shared" si="171"/>
        <v>47118</v>
      </c>
      <c r="M323" s="150">
        <f t="shared" si="171"/>
        <v>47483</v>
      </c>
      <c r="N323" s="150">
        <f t="shared" si="171"/>
        <v>47848</v>
      </c>
      <c r="O323" s="150">
        <f t="shared" si="171"/>
        <v>48213</v>
      </c>
      <c r="P323" s="150">
        <f t="shared" si="171"/>
        <v>48579</v>
      </c>
      <c r="Q323" s="150">
        <f t="shared" si="171"/>
        <v>48944</v>
      </c>
      <c r="R323" s="150">
        <f t="shared" si="171"/>
        <v>49309</v>
      </c>
      <c r="S323" s="150">
        <f t="shared" si="171"/>
        <v>49674</v>
      </c>
      <c r="T323" s="150">
        <f t="shared" si="171"/>
        <v>50040</v>
      </c>
      <c r="U323" s="150">
        <f t="shared" si="171"/>
        <v>50405</v>
      </c>
      <c r="V323" s="150">
        <f t="shared" si="171"/>
        <v>50770</v>
      </c>
      <c r="W323" s="150">
        <f t="shared" si="171"/>
        <v>51135</v>
      </c>
      <c r="X323" s="150">
        <f t="shared" si="171"/>
        <v>51501</v>
      </c>
      <c r="Y323" s="150">
        <f t="shared" si="171"/>
        <v>51866</v>
      </c>
      <c r="Z323" s="150">
        <f t="shared" si="171"/>
        <v>52231</v>
      </c>
    </row>
    <row r="324" spans="2:26" x14ac:dyDescent="0.35">
      <c r="B324" s="33" t="s">
        <v>342</v>
      </c>
      <c r="C324"/>
      <c r="D324"/>
      <c r="E324"/>
      <c r="F324" s="34">
        <f t="shared" ref="F324:Z324" si="172">+F270+F225+F155</f>
        <v>0</v>
      </c>
      <c r="G324" s="34">
        <f t="shared" si="172"/>
        <v>0</v>
      </c>
      <c r="H324" s="34">
        <f t="shared" si="172"/>
        <v>0</v>
      </c>
      <c r="I324" s="34">
        <f t="shared" si="172"/>
        <v>0</v>
      </c>
      <c r="J324" s="34">
        <f t="shared" si="172"/>
        <v>0</v>
      </c>
      <c r="K324" s="34">
        <f t="shared" si="172"/>
        <v>0</v>
      </c>
      <c r="L324" s="34">
        <f t="shared" si="172"/>
        <v>0</v>
      </c>
      <c r="M324" s="34">
        <f t="shared" si="172"/>
        <v>0</v>
      </c>
      <c r="N324" s="34">
        <f t="shared" ca="1" si="172"/>
        <v>262800366.09922308</v>
      </c>
      <c r="O324" s="34">
        <f t="shared" si="172"/>
        <v>0</v>
      </c>
      <c r="P324" s="34">
        <f t="shared" si="172"/>
        <v>0</v>
      </c>
      <c r="Q324" s="34">
        <f t="shared" si="172"/>
        <v>0</v>
      </c>
      <c r="R324" s="34">
        <f t="shared" si="172"/>
        <v>0</v>
      </c>
      <c r="S324" s="34">
        <f t="shared" si="172"/>
        <v>0</v>
      </c>
      <c r="T324" s="34">
        <f t="shared" si="172"/>
        <v>0</v>
      </c>
      <c r="U324" s="34">
        <f t="shared" si="172"/>
        <v>0</v>
      </c>
      <c r="V324" s="34">
        <f t="shared" si="172"/>
        <v>0</v>
      </c>
      <c r="W324" s="34">
        <f t="shared" si="172"/>
        <v>0</v>
      </c>
      <c r="X324" s="34">
        <f t="shared" si="172"/>
        <v>0</v>
      </c>
      <c r="Y324" s="34">
        <f t="shared" si="172"/>
        <v>0</v>
      </c>
      <c r="Z324" s="34">
        <f t="shared" si="172"/>
        <v>0</v>
      </c>
    </row>
    <row r="325" spans="2:26" x14ac:dyDescent="0.35">
      <c r="B325" s="33" t="s">
        <v>343</v>
      </c>
      <c r="F325" s="151">
        <f t="shared" ref="F325:Z325" si="173">+F271+F226+F157</f>
        <v>0</v>
      </c>
      <c r="G325" s="151">
        <f t="shared" si="173"/>
        <v>0</v>
      </c>
      <c r="H325" s="151">
        <f t="shared" si="173"/>
        <v>0</v>
      </c>
      <c r="I325" s="151">
        <f t="shared" si="173"/>
        <v>0</v>
      </c>
      <c r="J325" s="151">
        <f t="shared" si="173"/>
        <v>0</v>
      </c>
      <c r="K325" s="151">
        <f t="shared" si="173"/>
        <v>0</v>
      </c>
      <c r="L325" s="151">
        <f t="shared" si="173"/>
        <v>0</v>
      </c>
      <c r="M325" s="151">
        <f t="shared" si="173"/>
        <v>0</v>
      </c>
      <c r="N325" s="151">
        <f t="shared" ca="1" si="173"/>
        <v>-5256007.3219844615</v>
      </c>
      <c r="O325" s="151">
        <f t="shared" si="173"/>
        <v>0</v>
      </c>
      <c r="P325" s="151">
        <f t="shared" si="173"/>
        <v>0</v>
      </c>
      <c r="Q325" s="151">
        <f t="shared" si="173"/>
        <v>0</v>
      </c>
      <c r="R325" s="151">
        <f t="shared" si="173"/>
        <v>0</v>
      </c>
      <c r="S325" s="151">
        <f t="shared" si="173"/>
        <v>0</v>
      </c>
      <c r="T325" s="151">
        <f t="shared" si="173"/>
        <v>0</v>
      </c>
      <c r="U325" s="151">
        <f t="shared" si="173"/>
        <v>0</v>
      </c>
      <c r="V325" s="151">
        <f t="shared" si="173"/>
        <v>0</v>
      </c>
      <c r="W325" s="151">
        <f t="shared" si="173"/>
        <v>0</v>
      </c>
      <c r="X325" s="151">
        <f t="shared" si="173"/>
        <v>0</v>
      </c>
      <c r="Y325" s="151">
        <f t="shared" si="173"/>
        <v>0</v>
      </c>
      <c r="Z325" s="151">
        <f t="shared" si="173"/>
        <v>0</v>
      </c>
    </row>
    <row r="326" spans="2:26" x14ac:dyDescent="0.35">
      <c r="B326" s="138" t="s">
        <v>345</v>
      </c>
      <c r="C326" s="138"/>
      <c r="D326" s="139"/>
      <c r="E326" s="139"/>
      <c r="F326" s="139">
        <f>+SUM(F324:F325)</f>
        <v>0</v>
      </c>
      <c r="G326" s="139">
        <f t="shared" ref="G326:Z326" si="174">+SUM(G324:G325)</f>
        <v>0</v>
      </c>
      <c r="H326" s="139">
        <f t="shared" si="174"/>
        <v>0</v>
      </c>
      <c r="I326" s="139">
        <f t="shared" si="174"/>
        <v>0</v>
      </c>
      <c r="J326" s="139">
        <f t="shared" si="174"/>
        <v>0</v>
      </c>
      <c r="K326" s="139">
        <f t="shared" si="174"/>
        <v>0</v>
      </c>
      <c r="L326" s="139">
        <f t="shared" si="174"/>
        <v>0</v>
      </c>
      <c r="M326" s="139">
        <f t="shared" si="174"/>
        <v>0</v>
      </c>
      <c r="N326" s="139">
        <f t="shared" ca="1" si="174"/>
        <v>257544358.77723861</v>
      </c>
      <c r="O326" s="139">
        <f t="shared" si="174"/>
        <v>0</v>
      </c>
      <c r="P326" s="139">
        <f t="shared" si="174"/>
        <v>0</v>
      </c>
      <c r="Q326" s="139">
        <f t="shared" si="174"/>
        <v>0</v>
      </c>
      <c r="R326" s="139">
        <f t="shared" si="174"/>
        <v>0</v>
      </c>
      <c r="S326" s="139">
        <f t="shared" si="174"/>
        <v>0</v>
      </c>
      <c r="T326" s="139">
        <f t="shared" si="174"/>
        <v>0</v>
      </c>
      <c r="U326" s="139">
        <f t="shared" si="174"/>
        <v>0</v>
      </c>
      <c r="V326" s="139">
        <f t="shared" si="174"/>
        <v>0</v>
      </c>
      <c r="W326" s="139">
        <f t="shared" si="174"/>
        <v>0</v>
      </c>
      <c r="X326" s="139">
        <f t="shared" si="174"/>
        <v>0</v>
      </c>
      <c r="Y326" s="139">
        <f t="shared" si="174"/>
        <v>0</v>
      </c>
      <c r="Z326" s="139">
        <f t="shared" si="174"/>
        <v>0</v>
      </c>
    </row>
    <row r="328" spans="2:26" x14ac:dyDescent="0.35">
      <c r="B328" s="148" t="s">
        <v>398</v>
      </c>
      <c r="F328" s="150">
        <f t="shared" ref="F328:Z328" si="175">+F$294</f>
        <v>44926</v>
      </c>
      <c r="G328" s="150">
        <f t="shared" si="175"/>
        <v>45291</v>
      </c>
      <c r="H328" s="150">
        <f t="shared" si="175"/>
        <v>45657</v>
      </c>
      <c r="I328" s="150">
        <f t="shared" si="175"/>
        <v>46022</v>
      </c>
      <c r="J328" s="150">
        <f t="shared" si="175"/>
        <v>46387</v>
      </c>
      <c r="K328" s="150">
        <f t="shared" si="175"/>
        <v>46752</v>
      </c>
      <c r="L328" s="150">
        <f t="shared" si="175"/>
        <v>47118</v>
      </c>
      <c r="M328" s="150">
        <f t="shared" si="175"/>
        <v>47483</v>
      </c>
      <c r="N328" s="150">
        <f t="shared" si="175"/>
        <v>47848</v>
      </c>
      <c r="O328" s="150">
        <f t="shared" si="175"/>
        <v>48213</v>
      </c>
      <c r="P328" s="150">
        <f t="shared" si="175"/>
        <v>48579</v>
      </c>
      <c r="Q328" s="150">
        <f t="shared" si="175"/>
        <v>48944</v>
      </c>
      <c r="R328" s="150">
        <f t="shared" si="175"/>
        <v>49309</v>
      </c>
      <c r="S328" s="150">
        <f t="shared" si="175"/>
        <v>49674</v>
      </c>
      <c r="T328" s="150">
        <f t="shared" si="175"/>
        <v>50040</v>
      </c>
      <c r="U328" s="150">
        <f t="shared" si="175"/>
        <v>50405</v>
      </c>
      <c r="V328" s="150">
        <f t="shared" si="175"/>
        <v>50770</v>
      </c>
      <c r="W328" s="150">
        <f t="shared" si="175"/>
        <v>51135</v>
      </c>
      <c r="X328" s="150">
        <f t="shared" si="175"/>
        <v>51501</v>
      </c>
      <c r="Y328" s="150">
        <f t="shared" si="175"/>
        <v>51866</v>
      </c>
      <c r="Z328" s="150">
        <f t="shared" si="175"/>
        <v>52231</v>
      </c>
    </row>
    <row r="329" spans="2:26" x14ac:dyDescent="0.35">
      <c r="B329" s="33" t="s">
        <v>61</v>
      </c>
      <c r="D329" s="48">
        <f>+SUM(F329:Z329)</f>
        <v>818973.10714285716</v>
      </c>
      <c r="E329" s="48"/>
      <c r="F329" s="34">
        <f t="shared" ref="F329:Z329" si="176">+F285</f>
        <v>818973.10714285716</v>
      </c>
      <c r="G329" s="34">
        <f t="shared" si="176"/>
        <v>0</v>
      </c>
      <c r="H329" s="34">
        <f t="shared" si="176"/>
        <v>0</v>
      </c>
      <c r="I329" s="34">
        <f t="shared" si="176"/>
        <v>0</v>
      </c>
      <c r="J329" s="34">
        <f t="shared" si="176"/>
        <v>0</v>
      </c>
      <c r="K329" s="34">
        <f t="shared" si="176"/>
        <v>0</v>
      </c>
      <c r="L329" s="34">
        <f t="shared" si="176"/>
        <v>0</v>
      </c>
      <c r="M329" s="34">
        <f t="shared" si="176"/>
        <v>0</v>
      </c>
      <c r="N329" s="34">
        <f t="shared" si="176"/>
        <v>0</v>
      </c>
      <c r="O329" s="34">
        <f t="shared" si="176"/>
        <v>0</v>
      </c>
      <c r="P329" s="34">
        <f t="shared" si="176"/>
        <v>0</v>
      </c>
      <c r="Q329" s="34">
        <f t="shared" si="176"/>
        <v>0</v>
      </c>
      <c r="R329" s="34">
        <f t="shared" si="176"/>
        <v>0</v>
      </c>
      <c r="S329" s="34">
        <f t="shared" si="176"/>
        <v>0</v>
      </c>
      <c r="T329" s="34">
        <f t="shared" si="176"/>
        <v>0</v>
      </c>
      <c r="U329" s="34">
        <f t="shared" si="176"/>
        <v>0</v>
      </c>
      <c r="V329" s="34">
        <f t="shared" si="176"/>
        <v>0</v>
      </c>
      <c r="W329" s="34">
        <f t="shared" si="176"/>
        <v>0</v>
      </c>
      <c r="X329" s="34">
        <f t="shared" si="176"/>
        <v>0</v>
      </c>
      <c r="Y329" s="34">
        <f t="shared" si="176"/>
        <v>0</v>
      </c>
      <c r="Z329" s="34">
        <f t="shared" si="176"/>
        <v>0</v>
      </c>
    </row>
    <row r="330" spans="2:26" x14ac:dyDescent="0.35">
      <c r="B330" s="33" t="s">
        <v>8</v>
      </c>
      <c r="D330" s="48">
        <f t="shared" ref="D330:D335" si="177">+SUM(F330:Z330)</f>
        <v>10461100</v>
      </c>
      <c r="E330" s="48"/>
      <c r="F330" s="151">
        <f t="shared" ref="F330:Z330" si="178">+F286</f>
        <v>10461100</v>
      </c>
      <c r="G330" s="151">
        <f t="shared" si="178"/>
        <v>0</v>
      </c>
      <c r="H330" s="151">
        <f t="shared" si="178"/>
        <v>0</v>
      </c>
      <c r="I330" s="151">
        <f t="shared" si="178"/>
        <v>0</v>
      </c>
      <c r="J330" s="151">
        <f t="shared" si="178"/>
        <v>0</v>
      </c>
      <c r="K330" s="151">
        <f t="shared" si="178"/>
        <v>0</v>
      </c>
      <c r="L330" s="151">
        <f t="shared" si="178"/>
        <v>0</v>
      </c>
      <c r="M330" s="151">
        <f t="shared" si="178"/>
        <v>0</v>
      </c>
      <c r="N330" s="151">
        <f t="shared" si="178"/>
        <v>0</v>
      </c>
      <c r="O330" s="151">
        <f t="shared" si="178"/>
        <v>0</v>
      </c>
      <c r="P330" s="151">
        <f t="shared" si="178"/>
        <v>0</v>
      </c>
      <c r="Q330" s="151">
        <f t="shared" si="178"/>
        <v>0</v>
      </c>
      <c r="R330" s="151">
        <f t="shared" si="178"/>
        <v>0</v>
      </c>
      <c r="S330" s="151">
        <f t="shared" si="178"/>
        <v>0</v>
      </c>
      <c r="T330" s="151">
        <f t="shared" si="178"/>
        <v>0</v>
      </c>
      <c r="U330" s="151">
        <f t="shared" si="178"/>
        <v>0</v>
      </c>
      <c r="V330" s="151">
        <f t="shared" si="178"/>
        <v>0</v>
      </c>
      <c r="W330" s="151">
        <f t="shared" si="178"/>
        <v>0</v>
      </c>
      <c r="X330" s="151">
        <f t="shared" si="178"/>
        <v>0</v>
      </c>
      <c r="Y330" s="151">
        <f t="shared" si="178"/>
        <v>0</v>
      </c>
      <c r="Z330" s="151">
        <f t="shared" si="178"/>
        <v>0</v>
      </c>
    </row>
    <row r="331" spans="2:26" x14ac:dyDescent="0.35">
      <c r="B331" s="33" t="s">
        <v>57</v>
      </c>
      <c r="D331" s="48">
        <f t="shared" ca="1" si="177"/>
        <v>174155529.98339999</v>
      </c>
      <c r="E331" s="48"/>
      <c r="F331" s="151">
        <f t="shared" ref="F331:Z331" si="179">+F287</f>
        <v>0</v>
      </c>
      <c r="G331" s="151">
        <f t="shared" ca="1" si="179"/>
        <v>87077764.991699994</v>
      </c>
      <c r="H331" s="151">
        <f t="shared" ca="1" si="179"/>
        <v>87077764.991699994</v>
      </c>
      <c r="I331" s="151">
        <f t="shared" si="179"/>
        <v>0</v>
      </c>
      <c r="J331" s="151">
        <f t="shared" si="179"/>
        <v>0</v>
      </c>
      <c r="K331" s="151">
        <f t="shared" si="179"/>
        <v>0</v>
      </c>
      <c r="L331" s="151">
        <f t="shared" si="179"/>
        <v>0</v>
      </c>
      <c r="M331" s="151">
        <f t="shared" si="179"/>
        <v>0</v>
      </c>
      <c r="N331" s="151">
        <f t="shared" si="179"/>
        <v>0</v>
      </c>
      <c r="O331" s="151">
        <f t="shared" si="179"/>
        <v>0</v>
      </c>
      <c r="P331" s="151">
        <f t="shared" si="179"/>
        <v>0</v>
      </c>
      <c r="Q331" s="151">
        <f t="shared" si="179"/>
        <v>0</v>
      </c>
      <c r="R331" s="151">
        <f t="shared" si="179"/>
        <v>0</v>
      </c>
      <c r="S331" s="151">
        <f t="shared" si="179"/>
        <v>0</v>
      </c>
      <c r="T331" s="151">
        <f t="shared" si="179"/>
        <v>0</v>
      </c>
      <c r="U331" s="151">
        <f t="shared" si="179"/>
        <v>0</v>
      </c>
      <c r="V331" s="151">
        <f t="shared" si="179"/>
        <v>0</v>
      </c>
      <c r="W331" s="151">
        <f t="shared" si="179"/>
        <v>0</v>
      </c>
      <c r="X331" s="151">
        <f t="shared" si="179"/>
        <v>0</v>
      </c>
      <c r="Y331" s="151">
        <f t="shared" si="179"/>
        <v>0</v>
      </c>
      <c r="Z331" s="151">
        <f t="shared" si="179"/>
        <v>0</v>
      </c>
    </row>
    <row r="332" spans="2:26" x14ac:dyDescent="0.35">
      <c r="B332" s="33" t="s">
        <v>58</v>
      </c>
      <c r="D332" s="48">
        <f t="shared" ca="1" si="177"/>
        <v>13372221.469901217</v>
      </c>
      <c r="E332" s="48"/>
      <c r="F332" s="151">
        <f t="shared" ref="F332:Z332" ca="1" si="180">+F288</f>
        <v>7588283.2699150536</v>
      </c>
      <c r="G332" s="151">
        <f t="shared" ca="1" si="180"/>
        <v>2891969.0999930818</v>
      </c>
      <c r="H332" s="151">
        <f t="shared" ca="1" si="180"/>
        <v>2891969.0999930818</v>
      </c>
      <c r="I332" s="151">
        <f t="shared" si="180"/>
        <v>0</v>
      </c>
      <c r="J332" s="151">
        <f t="shared" si="180"/>
        <v>0</v>
      </c>
      <c r="K332" s="151">
        <f t="shared" si="180"/>
        <v>0</v>
      </c>
      <c r="L332" s="151">
        <f t="shared" si="180"/>
        <v>0</v>
      </c>
      <c r="M332" s="151">
        <f t="shared" si="180"/>
        <v>0</v>
      </c>
      <c r="N332" s="151">
        <f t="shared" si="180"/>
        <v>0</v>
      </c>
      <c r="O332" s="151">
        <f t="shared" si="180"/>
        <v>0</v>
      </c>
      <c r="P332" s="151">
        <f t="shared" si="180"/>
        <v>0</v>
      </c>
      <c r="Q332" s="151">
        <f t="shared" si="180"/>
        <v>0</v>
      </c>
      <c r="R332" s="151">
        <f t="shared" si="180"/>
        <v>0</v>
      </c>
      <c r="S332" s="151">
        <f t="shared" si="180"/>
        <v>0</v>
      </c>
      <c r="T332" s="151">
        <f t="shared" si="180"/>
        <v>0</v>
      </c>
      <c r="U332" s="151">
        <f t="shared" si="180"/>
        <v>0</v>
      </c>
      <c r="V332" s="151">
        <f t="shared" si="180"/>
        <v>0</v>
      </c>
      <c r="W332" s="151">
        <f t="shared" si="180"/>
        <v>0</v>
      </c>
      <c r="X332" s="151">
        <f t="shared" si="180"/>
        <v>0</v>
      </c>
      <c r="Y332" s="151">
        <f t="shared" si="180"/>
        <v>0</v>
      </c>
      <c r="Z332" s="151">
        <f t="shared" si="180"/>
        <v>0</v>
      </c>
    </row>
    <row r="333" spans="2:26" x14ac:dyDescent="0.35">
      <c r="B333" s="33" t="s">
        <v>80</v>
      </c>
      <c r="D333" s="48">
        <f t="shared" si="177"/>
        <v>0</v>
      </c>
      <c r="E333" s="48"/>
      <c r="F333" s="151">
        <v>0</v>
      </c>
      <c r="G333" s="151">
        <v>0</v>
      </c>
      <c r="H333" s="151">
        <v>0</v>
      </c>
      <c r="I333" s="151">
        <v>0</v>
      </c>
      <c r="J333" s="151">
        <v>0</v>
      </c>
      <c r="K333" s="151">
        <v>0</v>
      </c>
      <c r="L333" s="151">
        <v>0</v>
      </c>
      <c r="M333" s="151">
        <v>0</v>
      </c>
      <c r="N333" s="151">
        <v>0</v>
      </c>
      <c r="O333" s="151">
        <v>0</v>
      </c>
      <c r="P333" s="151">
        <v>0</v>
      </c>
      <c r="Q333" s="151">
        <v>0</v>
      </c>
      <c r="R333" s="151">
        <v>0</v>
      </c>
      <c r="S333" s="151">
        <v>0</v>
      </c>
      <c r="T333" s="151">
        <v>0</v>
      </c>
      <c r="U333" s="151">
        <v>0</v>
      </c>
      <c r="V333" s="151">
        <v>0</v>
      </c>
      <c r="W333" s="151">
        <v>0</v>
      </c>
      <c r="X333" s="151">
        <v>0</v>
      </c>
      <c r="Y333" s="151">
        <v>0</v>
      </c>
      <c r="Z333" s="151">
        <v>0</v>
      </c>
    </row>
    <row r="334" spans="2:26" x14ac:dyDescent="0.35">
      <c r="B334" s="33" t="s">
        <v>83</v>
      </c>
      <c r="D334" s="48">
        <f t="shared" ca="1" si="177"/>
        <v>444607.63224393112</v>
      </c>
      <c r="E334" s="48"/>
      <c r="F334" s="151">
        <f t="shared" ref="F334:Z334" si="181">+F290</f>
        <v>0</v>
      </c>
      <c r="G334" s="151">
        <f t="shared" ca="1" si="181"/>
        <v>222303.81612196556</v>
      </c>
      <c r="H334" s="151">
        <f t="shared" ca="1" si="181"/>
        <v>222303.81612196556</v>
      </c>
      <c r="I334" s="151">
        <f t="shared" si="181"/>
        <v>0</v>
      </c>
      <c r="J334" s="151">
        <f t="shared" si="181"/>
        <v>0</v>
      </c>
      <c r="K334" s="151">
        <f t="shared" si="181"/>
        <v>0</v>
      </c>
      <c r="L334" s="151">
        <f t="shared" si="181"/>
        <v>0</v>
      </c>
      <c r="M334" s="151">
        <f t="shared" si="181"/>
        <v>0</v>
      </c>
      <c r="N334" s="151">
        <f t="shared" si="181"/>
        <v>0</v>
      </c>
      <c r="O334" s="151">
        <f t="shared" si="181"/>
        <v>0</v>
      </c>
      <c r="P334" s="151">
        <f t="shared" si="181"/>
        <v>0</v>
      </c>
      <c r="Q334" s="151">
        <f t="shared" si="181"/>
        <v>0</v>
      </c>
      <c r="R334" s="151">
        <f t="shared" si="181"/>
        <v>0</v>
      </c>
      <c r="S334" s="151">
        <f t="shared" si="181"/>
        <v>0</v>
      </c>
      <c r="T334" s="151">
        <f t="shared" si="181"/>
        <v>0</v>
      </c>
      <c r="U334" s="151">
        <f t="shared" si="181"/>
        <v>0</v>
      </c>
      <c r="V334" s="151">
        <f t="shared" si="181"/>
        <v>0</v>
      </c>
      <c r="W334" s="151">
        <f t="shared" si="181"/>
        <v>0</v>
      </c>
      <c r="X334" s="151">
        <f t="shared" si="181"/>
        <v>0</v>
      </c>
      <c r="Y334" s="151">
        <f t="shared" si="181"/>
        <v>0</v>
      </c>
      <c r="Z334" s="151">
        <f t="shared" si="181"/>
        <v>0</v>
      </c>
    </row>
    <row r="335" spans="2:26" x14ac:dyDescent="0.35">
      <c r="B335" s="33" t="s">
        <v>60</v>
      </c>
      <c r="D335" s="48">
        <f t="shared" ca="1" si="177"/>
        <v>6434689.4432007801</v>
      </c>
      <c r="E335" s="48"/>
      <c r="F335" s="151">
        <f t="shared" ref="F335:Z335" ca="1" si="182">+F291</f>
        <v>0</v>
      </c>
      <c r="G335" s="151">
        <f t="shared" ca="1" si="182"/>
        <v>1608672.360800195</v>
      </c>
      <c r="H335" s="151">
        <f t="shared" ca="1" si="182"/>
        <v>1608672.360800195</v>
      </c>
      <c r="I335" s="151">
        <f t="shared" ca="1" si="182"/>
        <v>1608672.360800195</v>
      </c>
      <c r="J335" s="151">
        <f t="shared" ca="1" si="182"/>
        <v>1608672.360800195</v>
      </c>
      <c r="K335" s="151">
        <f t="shared" si="182"/>
        <v>0</v>
      </c>
      <c r="L335" s="151">
        <f t="shared" si="182"/>
        <v>0</v>
      </c>
      <c r="M335" s="151">
        <f t="shared" si="182"/>
        <v>0</v>
      </c>
      <c r="N335" s="151">
        <f t="shared" si="182"/>
        <v>0</v>
      </c>
      <c r="O335" s="151">
        <f t="shared" si="182"/>
        <v>0</v>
      </c>
      <c r="P335" s="151">
        <f t="shared" si="182"/>
        <v>0</v>
      </c>
      <c r="Q335" s="151">
        <f t="shared" si="182"/>
        <v>0</v>
      </c>
      <c r="R335" s="151">
        <f t="shared" si="182"/>
        <v>0</v>
      </c>
      <c r="S335" s="151">
        <f t="shared" si="182"/>
        <v>0</v>
      </c>
      <c r="T335" s="151">
        <f t="shared" si="182"/>
        <v>0</v>
      </c>
      <c r="U335" s="151">
        <f t="shared" si="182"/>
        <v>0</v>
      </c>
      <c r="V335" s="151">
        <f t="shared" si="182"/>
        <v>0</v>
      </c>
      <c r="W335" s="151">
        <f t="shared" si="182"/>
        <v>0</v>
      </c>
      <c r="X335" s="151">
        <f t="shared" si="182"/>
        <v>0</v>
      </c>
      <c r="Y335" s="151">
        <f t="shared" si="182"/>
        <v>0</v>
      </c>
      <c r="Z335" s="151">
        <f t="shared" si="182"/>
        <v>0</v>
      </c>
    </row>
    <row r="336" spans="2:26" x14ac:dyDescent="0.35">
      <c r="B336" s="138" t="s">
        <v>20</v>
      </c>
      <c r="C336" s="138"/>
      <c r="D336" s="139">
        <f ca="1">+SUM(F336:Z336)</f>
        <v>205687121.63588879</v>
      </c>
      <c r="E336" s="139"/>
      <c r="F336" s="139">
        <f ca="1">+SUM(F329:F335)</f>
        <v>18868356.37705791</v>
      </c>
      <c r="G336" s="139">
        <f t="shared" ref="G336:Z336" ca="1" si="183">+SUM(G329:G335)</f>
        <v>91800710.268615231</v>
      </c>
      <c r="H336" s="139">
        <f t="shared" ca="1" si="183"/>
        <v>91800710.268615231</v>
      </c>
      <c r="I336" s="139">
        <f t="shared" ca="1" si="183"/>
        <v>1608672.360800195</v>
      </c>
      <c r="J336" s="139">
        <f t="shared" ca="1" si="183"/>
        <v>1608672.360800195</v>
      </c>
      <c r="K336" s="139">
        <f t="shared" si="183"/>
        <v>0</v>
      </c>
      <c r="L336" s="139">
        <f t="shared" si="183"/>
        <v>0</v>
      </c>
      <c r="M336" s="139">
        <f t="shared" si="183"/>
        <v>0</v>
      </c>
      <c r="N336" s="139">
        <f t="shared" si="183"/>
        <v>0</v>
      </c>
      <c r="O336" s="139">
        <f t="shared" si="183"/>
        <v>0</v>
      </c>
      <c r="P336" s="139">
        <f t="shared" si="183"/>
        <v>0</v>
      </c>
      <c r="Q336" s="139">
        <f t="shared" si="183"/>
        <v>0</v>
      </c>
      <c r="R336" s="139">
        <f t="shared" si="183"/>
        <v>0</v>
      </c>
      <c r="S336" s="139">
        <f t="shared" si="183"/>
        <v>0</v>
      </c>
      <c r="T336" s="139">
        <f t="shared" si="183"/>
        <v>0</v>
      </c>
      <c r="U336" s="139">
        <f t="shared" si="183"/>
        <v>0</v>
      </c>
      <c r="V336" s="139">
        <f t="shared" si="183"/>
        <v>0</v>
      </c>
      <c r="W336" s="139">
        <f t="shared" si="183"/>
        <v>0</v>
      </c>
      <c r="X336" s="139">
        <f t="shared" si="183"/>
        <v>0</v>
      </c>
      <c r="Y336" s="139">
        <f t="shared" si="183"/>
        <v>0</v>
      </c>
      <c r="Z336" s="139">
        <f t="shared" si="183"/>
        <v>0</v>
      </c>
    </row>
    <row r="338" spans="2:26" x14ac:dyDescent="0.35">
      <c r="B338" s="148" t="s">
        <v>353</v>
      </c>
      <c r="F338" s="150">
        <f>+Assumptions!$G$22</f>
        <v>44926</v>
      </c>
      <c r="G338" s="150">
        <f>+EOMONTH(F338,12)</f>
        <v>45291</v>
      </c>
      <c r="H338" s="150">
        <f t="shared" ref="H338:Z338" si="184">+EOMONTH(G338,12)</f>
        <v>45657</v>
      </c>
      <c r="I338" s="150">
        <f t="shared" si="184"/>
        <v>46022</v>
      </c>
      <c r="J338" s="150">
        <f t="shared" si="184"/>
        <v>46387</v>
      </c>
      <c r="K338" s="150">
        <f t="shared" si="184"/>
        <v>46752</v>
      </c>
      <c r="L338" s="150">
        <f t="shared" si="184"/>
        <v>47118</v>
      </c>
      <c r="M338" s="150">
        <f t="shared" si="184"/>
        <v>47483</v>
      </c>
      <c r="N338" s="150">
        <f t="shared" si="184"/>
        <v>47848</v>
      </c>
      <c r="O338" s="150">
        <f t="shared" si="184"/>
        <v>48213</v>
      </c>
      <c r="P338" s="150">
        <f t="shared" si="184"/>
        <v>48579</v>
      </c>
      <c r="Q338" s="150">
        <f t="shared" si="184"/>
        <v>48944</v>
      </c>
      <c r="R338" s="150">
        <f t="shared" si="184"/>
        <v>49309</v>
      </c>
      <c r="S338" s="150">
        <f t="shared" si="184"/>
        <v>49674</v>
      </c>
      <c r="T338" s="150">
        <f t="shared" si="184"/>
        <v>50040</v>
      </c>
      <c r="U338" s="150">
        <f t="shared" si="184"/>
        <v>50405</v>
      </c>
      <c r="V338" s="150">
        <f t="shared" si="184"/>
        <v>50770</v>
      </c>
      <c r="W338" s="150">
        <f t="shared" si="184"/>
        <v>51135</v>
      </c>
      <c r="X338" s="150">
        <f t="shared" si="184"/>
        <v>51501</v>
      </c>
      <c r="Y338" s="150">
        <f t="shared" si="184"/>
        <v>51866</v>
      </c>
      <c r="Z338" s="150">
        <f t="shared" si="184"/>
        <v>52231</v>
      </c>
    </row>
    <row r="339" spans="2:26" x14ac:dyDescent="0.35">
      <c r="B339" s="33" t="s">
        <v>29</v>
      </c>
      <c r="D339" s="48">
        <f ca="1">+D336-SUM(D296:D298,D301)</f>
        <v>153269869.74662384</v>
      </c>
      <c r="E339" s="48"/>
      <c r="F339" s="34">
        <f ca="1">+MIN($D$339-SUM('Phase II Pro Forma'!$E339:E339),'Phase II Pro Forma'!F$336)</f>
        <v>18868356.37705791</v>
      </c>
      <c r="G339" s="34">
        <f ca="1">+MIN($D$339-SUM('Phase II Pro Forma'!$E339:F339),'Phase II Pro Forma'!G$336)</f>
        <v>91800710.268615231</v>
      </c>
      <c r="H339" s="34">
        <f ca="1">+MIN($D$339-SUM('Phase II Pro Forma'!$E339:G339),'Phase II Pro Forma'!H$336)</f>
        <v>42600803.100950703</v>
      </c>
      <c r="I339" s="34">
        <f ca="1">+MIN($D$339-SUM('Phase II Pro Forma'!$E339:H339),'Phase II Pro Forma'!I$336)</f>
        <v>0</v>
      </c>
      <c r="J339" s="34">
        <f ca="1">+MIN($D$339-SUM('Phase II Pro Forma'!$E339:I339),'Phase II Pro Forma'!J$336)</f>
        <v>0</v>
      </c>
      <c r="K339" s="34">
        <f ca="1">+MIN($D$339-SUM('Phase II Pro Forma'!$E339:J339),'Phase II Pro Forma'!K$336)</f>
        <v>0</v>
      </c>
      <c r="L339" s="34">
        <f ca="1">+MIN($D$339-SUM('Phase II Pro Forma'!$E339:K339),'Phase II Pro Forma'!L$336)</f>
        <v>0</v>
      </c>
      <c r="M339" s="34">
        <f ca="1">+MIN($D$339-SUM('Phase II Pro Forma'!$E339:L339),'Phase II Pro Forma'!M$336)</f>
        <v>0</v>
      </c>
      <c r="N339" s="34">
        <f ca="1">+MIN($D$339-SUM('Phase II Pro Forma'!$E339:M339),'Phase II Pro Forma'!N$336)</f>
        <v>0</v>
      </c>
      <c r="O339" s="34">
        <f ca="1">+MIN($D$339-SUM('Phase II Pro Forma'!$E339:N339),'Phase II Pro Forma'!O$336)</f>
        <v>0</v>
      </c>
      <c r="P339" s="34">
        <f ca="1">+MIN($D$339-SUM('Phase II Pro Forma'!$E339:O339),'Phase II Pro Forma'!P$336)</f>
        <v>0</v>
      </c>
      <c r="Q339" s="34">
        <f ca="1">+MIN($D$339-SUM('Phase II Pro Forma'!$E339:P339),'Phase II Pro Forma'!Q$336)</f>
        <v>0</v>
      </c>
      <c r="R339" s="34">
        <f ca="1">+MIN($D$339-SUM('Phase II Pro Forma'!$E339:Q339),'Phase II Pro Forma'!R$336)</f>
        <v>0</v>
      </c>
      <c r="S339" s="34">
        <f ca="1">+MIN($D$339-SUM('Phase II Pro Forma'!$E339:R339),'Phase II Pro Forma'!S$336)</f>
        <v>0</v>
      </c>
      <c r="T339" s="34">
        <f ca="1">+MIN($D$339-SUM('Phase II Pro Forma'!$E339:S339),'Phase II Pro Forma'!T$336)</f>
        <v>0</v>
      </c>
      <c r="U339" s="34">
        <f ca="1">+MIN($D$339-SUM('Phase II Pro Forma'!$E339:T339),'Phase II Pro Forma'!U$336)</f>
        <v>0</v>
      </c>
      <c r="V339" s="34">
        <f ca="1">+MIN($D$339-SUM('Phase II Pro Forma'!$E339:U339),'Phase II Pro Forma'!V$336)</f>
        <v>0</v>
      </c>
      <c r="W339" s="34">
        <f ca="1">+MIN($D$339-SUM('Phase II Pro Forma'!$E339:V339),'Phase II Pro Forma'!W$336)</f>
        <v>0</v>
      </c>
      <c r="X339" s="34">
        <f ca="1">+MIN($D$339-SUM('Phase II Pro Forma'!$E339:W339),'Phase II Pro Forma'!X$336)</f>
        <v>0</v>
      </c>
      <c r="Y339" s="34">
        <f ca="1">+MIN($D$339-SUM('Phase II Pro Forma'!$E339:X339),'Phase II Pro Forma'!Y$336)</f>
        <v>0</v>
      </c>
      <c r="Z339" s="34">
        <f ca="1">+MIN($D$339-SUM('Phase II Pro Forma'!$E339:Y339),'Phase II Pro Forma'!Z$336)</f>
        <v>0</v>
      </c>
    </row>
    <row r="340" spans="2:26" x14ac:dyDescent="0.35">
      <c r="B340" s="33" t="s">
        <v>332</v>
      </c>
      <c r="D340" s="48">
        <f t="shared" ref="D340:D346" ca="1" si="185">+SUM(F340:Z340)</f>
        <v>0</v>
      </c>
      <c r="E340" s="48"/>
      <c r="F340" s="151">
        <f ca="1">+MIN('S&amp;U'!$I19-SUM('Phase II Pro Forma'!$E340:E340),'Phase II Pro Forma'!F$336-SUM(F$339:F339))</f>
        <v>0</v>
      </c>
      <c r="G340" s="151">
        <f ca="1">+MIN('S&amp;U'!$I19-SUM('Phase II Pro Forma'!$E340:F340),'Phase II Pro Forma'!G$336-SUM(G$339:G339))</f>
        <v>0</v>
      </c>
      <c r="H340" s="151">
        <f ca="1">+MIN('S&amp;U'!$I19-SUM('Phase II Pro Forma'!$E340:G340),'Phase II Pro Forma'!H$336-SUM(H$339:H339))</f>
        <v>0</v>
      </c>
      <c r="I340" s="151">
        <f ca="1">+MIN('S&amp;U'!$I19-SUM('Phase II Pro Forma'!$E340:H340),'Phase II Pro Forma'!I$336-SUM(I$339:I339))</f>
        <v>0</v>
      </c>
      <c r="J340" s="151">
        <f ca="1">+MIN('S&amp;U'!$I19-SUM('Phase II Pro Forma'!$E340:I340),'Phase II Pro Forma'!J$336-SUM(J$339:J339))</f>
        <v>0</v>
      </c>
      <c r="K340" s="151">
        <f ca="1">+MIN('S&amp;U'!$I19-SUM('Phase II Pro Forma'!$E340:J340),'Phase II Pro Forma'!K$336-SUM(K$339:K339))</f>
        <v>0</v>
      </c>
      <c r="L340" s="151">
        <f ca="1">+MIN('S&amp;U'!$I19-SUM('Phase II Pro Forma'!$E340:K340),'Phase II Pro Forma'!L$336-SUM(L$339:L339))</f>
        <v>0</v>
      </c>
      <c r="M340" s="151">
        <f ca="1">+MIN('S&amp;U'!$I19-SUM('Phase II Pro Forma'!$E340:L340),'Phase II Pro Forma'!M$336-SUM(M$339:M339))</f>
        <v>0</v>
      </c>
      <c r="N340" s="151">
        <f ca="1">+MIN('S&amp;U'!$I19-SUM('Phase II Pro Forma'!$E340:M340),'Phase II Pro Forma'!N$336-SUM(N$339:N339))</f>
        <v>0</v>
      </c>
      <c r="O340" s="151">
        <f ca="1">+MIN('S&amp;U'!$I19-SUM('Phase II Pro Forma'!$E340:N340),'Phase II Pro Forma'!O$336-SUM(O$339:O339))</f>
        <v>0</v>
      </c>
      <c r="P340" s="151">
        <f ca="1">+MIN('S&amp;U'!$I19-SUM('Phase II Pro Forma'!$E340:O340),'Phase II Pro Forma'!P$336-SUM(P$339:P339))</f>
        <v>0</v>
      </c>
      <c r="Q340" s="151">
        <f ca="1">+MIN('S&amp;U'!$I19-SUM('Phase II Pro Forma'!$E340:P340),'Phase II Pro Forma'!Q$336-SUM(Q$339:Q339))</f>
        <v>0</v>
      </c>
      <c r="R340" s="151">
        <f ca="1">+MIN('S&amp;U'!$I19-SUM('Phase II Pro Forma'!$E340:Q340),'Phase II Pro Forma'!R$336-SUM(R$339:R339))</f>
        <v>0</v>
      </c>
      <c r="S340" s="151">
        <f ca="1">+MIN('S&amp;U'!$I19-SUM('Phase II Pro Forma'!$E340:R340),'Phase II Pro Forma'!S$336-SUM(S$339:S339))</f>
        <v>0</v>
      </c>
      <c r="T340" s="151">
        <f ca="1">+MIN('S&amp;U'!$I19-SUM('Phase II Pro Forma'!$E340:S340),'Phase II Pro Forma'!T$336-SUM(T$339:T339))</f>
        <v>0</v>
      </c>
      <c r="U340" s="151">
        <f ca="1">+MIN('S&amp;U'!$I19-SUM('Phase II Pro Forma'!$E340:T340),'Phase II Pro Forma'!U$336-SUM(U$339:U339))</f>
        <v>0</v>
      </c>
      <c r="V340" s="151">
        <f ca="1">+MIN('S&amp;U'!$I19-SUM('Phase II Pro Forma'!$E340:U340),'Phase II Pro Forma'!V$336-SUM(V$339:V339))</f>
        <v>0</v>
      </c>
      <c r="W340" s="151">
        <f ca="1">+MIN('S&amp;U'!$I19-SUM('Phase II Pro Forma'!$E340:V340),'Phase II Pro Forma'!W$336-SUM(W$339:W339))</f>
        <v>0</v>
      </c>
      <c r="X340" s="151">
        <f ca="1">+MIN('S&amp;U'!$I19-SUM('Phase II Pro Forma'!$E340:W340),'Phase II Pro Forma'!X$336-SUM(X$339:X339))</f>
        <v>0</v>
      </c>
      <c r="Y340" s="151">
        <f ca="1">+MIN('S&amp;U'!$I19-SUM('Phase II Pro Forma'!$E340:X340),'Phase II Pro Forma'!Y$336-SUM(Y$339:Y339))</f>
        <v>0</v>
      </c>
      <c r="Z340" s="151">
        <f ca="1">+MIN('S&amp;U'!$I19-SUM('Phase II Pro Forma'!$E340:Y340),'Phase II Pro Forma'!Z$336-SUM(Z$339:Z339))</f>
        <v>0</v>
      </c>
    </row>
    <row r="341" spans="2:26" x14ac:dyDescent="0.35">
      <c r="B341" s="33" t="s">
        <v>99</v>
      </c>
      <c r="D341" s="48">
        <f t="shared" ca="1" si="185"/>
        <v>8832339.7304545473</v>
      </c>
      <c r="E341" s="48"/>
      <c r="F341" s="151">
        <f ca="1">+MIN('S&amp;U'!$I20-SUM('Phase II Pro Forma'!$E341:E341),'Phase II Pro Forma'!F$336-SUM(F$339:F340))</f>
        <v>0</v>
      </c>
      <c r="G341" s="151">
        <f ca="1">+MIN('S&amp;U'!$I20-SUM('Phase II Pro Forma'!$E341:F341),'Phase II Pro Forma'!G$336-SUM(G$339:G340))</f>
        <v>0</v>
      </c>
      <c r="H341" s="151">
        <f ca="1">+MIN('S&amp;U'!$I20-SUM('Phase II Pro Forma'!$E341:G341),'Phase II Pro Forma'!H$336-SUM(H$339:H340))</f>
        <v>8832339.7304545473</v>
      </c>
      <c r="I341" s="151">
        <f ca="1">+MIN('S&amp;U'!$I20-SUM('Phase II Pro Forma'!$E341:H341),'Phase II Pro Forma'!I$336-SUM(I$339:I340))</f>
        <v>0</v>
      </c>
      <c r="J341" s="151">
        <f ca="1">+MIN('S&amp;U'!$I20-SUM('Phase II Pro Forma'!$E341:I341),'Phase II Pro Forma'!J$336-SUM(J$339:J340))</f>
        <v>0</v>
      </c>
      <c r="K341" s="151">
        <f ca="1">+MIN('S&amp;U'!$I20-SUM('Phase II Pro Forma'!$E341:J341),'Phase II Pro Forma'!K$336-SUM(K$339:K340))</f>
        <v>0</v>
      </c>
      <c r="L341" s="151">
        <f ca="1">+MIN('S&amp;U'!$I20-SUM('Phase II Pro Forma'!$E341:K341),'Phase II Pro Forma'!L$336-SUM(L$339:L340))</f>
        <v>0</v>
      </c>
      <c r="M341" s="151">
        <f ca="1">+MIN('S&amp;U'!$I20-SUM('Phase II Pro Forma'!$E341:L341),'Phase II Pro Forma'!M$336-SUM(M$339:M340))</f>
        <v>0</v>
      </c>
      <c r="N341" s="151">
        <f ca="1">+MIN('S&amp;U'!$I20-SUM('Phase II Pro Forma'!$E341:M341),'Phase II Pro Forma'!N$336-SUM(N$339:N340))</f>
        <v>0</v>
      </c>
      <c r="O341" s="151">
        <f ca="1">+MIN('S&amp;U'!$I20-SUM('Phase II Pro Forma'!$E341:N341),'Phase II Pro Forma'!O$336-SUM(O$339:O340))</f>
        <v>0</v>
      </c>
      <c r="P341" s="151">
        <f ca="1">+MIN('S&amp;U'!$I20-SUM('Phase II Pro Forma'!$E341:O341),'Phase II Pro Forma'!P$336-SUM(P$339:P340))</f>
        <v>0</v>
      </c>
      <c r="Q341" s="151">
        <f ca="1">+MIN('S&amp;U'!$I20-SUM('Phase II Pro Forma'!$E341:P341),'Phase II Pro Forma'!Q$336-SUM(Q$339:Q340))</f>
        <v>0</v>
      </c>
      <c r="R341" s="151">
        <f ca="1">+MIN('S&amp;U'!$I20-SUM('Phase II Pro Forma'!$E341:Q341),'Phase II Pro Forma'!R$336-SUM(R$339:R340))</f>
        <v>0</v>
      </c>
      <c r="S341" s="151">
        <f ca="1">+MIN('S&amp;U'!$I20-SUM('Phase II Pro Forma'!$E341:R341),'Phase II Pro Forma'!S$336-SUM(S$339:S340))</f>
        <v>0</v>
      </c>
      <c r="T341" s="151">
        <f ca="1">+MIN('S&amp;U'!$I20-SUM('Phase II Pro Forma'!$E341:S341),'Phase II Pro Forma'!T$336-SUM(T$339:T340))</f>
        <v>0</v>
      </c>
      <c r="U341" s="151">
        <f ca="1">+MIN('S&amp;U'!$I20-SUM('Phase II Pro Forma'!$E341:T341),'Phase II Pro Forma'!U$336-SUM(U$339:U340))</f>
        <v>0</v>
      </c>
      <c r="V341" s="151">
        <f ca="1">+MIN('S&amp;U'!$I20-SUM('Phase II Pro Forma'!$E341:U341),'Phase II Pro Forma'!V$336-SUM(V$339:V340))</f>
        <v>0</v>
      </c>
      <c r="W341" s="151">
        <f ca="1">+MIN('S&amp;U'!$I20-SUM('Phase II Pro Forma'!$E341:V341),'Phase II Pro Forma'!W$336-SUM(W$339:W340))</f>
        <v>0</v>
      </c>
      <c r="X341" s="151">
        <f ca="1">+MIN('S&amp;U'!$I20-SUM('Phase II Pro Forma'!$E341:W341),'Phase II Pro Forma'!X$336-SUM(X$339:X340))</f>
        <v>0</v>
      </c>
      <c r="Y341" s="151">
        <f ca="1">+MIN('S&amp;U'!$I20-SUM('Phase II Pro Forma'!$E341:X341),'Phase II Pro Forma'!Y$336-SUM(Y$339:Y340))</f>
        <v>0</v>
      </c>
      <c r="Z341" s="151">
        <f ca="1">+MIN('S&amp;U'!$I20-SUM('Phase II Pro Forma'!$E341:Y341),'Phase II Pro Forma'!Z$336-SUM(Z$339:Z340))</f>
        <v>0</v>
      </c>
    </row>
    <row r="342" spans="2:26" x14ac:dyDescent="0.35">
      <c r="B342" s="33" t="s">
        <v>100</v>
      </c>
      <c r="D342" s="48">
        <f t="shared" ca="1" si="185"/>
        <v>6.2400000000000012E-5</v>
      </c>
      <c r="E342" s="48"/>
      <c r="F342" s="151">
        <f ca="1">+MIN('S&amp;U'!$I21-SUM('Phase II Pro Forma'!$E342:E342),'Phase II Pro Forma'!F$336-SUM(F$339:F341))</f>
        <v>0</v>
      </c>
      <c r="G342" s="151">
        <f ca="1">+MIN('S&amp;U'!$I21-SUM('Phase II Pro Forma'!$E342:F342),'Phase II Pro Forma'!G$336-SUM(G$339:G341))</f>
        <v>0</v>
      </c>
      <c r="H342" s="151">
        <f ca="1">+MIN('S&amp;U'!$I21-SUM('Phase II Pro Forma'!$E342:G342),'Phase II Pro Forma'!H$336-SUM(H$339:H341))</f>
        <v>6.2400000000000012E-5</v>
      </c>
      <c r="I342" s="151">
        <f ca="1">+MIN('S&amp;U'!$I21-SUM('Phase II Pro Forma'!$E342:H342),'Phase II Pro Forma'!I$336-SUM(I$339:I341))</f>
        <v>0</v>
      </c>
      <c r="J342" s="151">
        <f ca="1">+MIN('S&amp;U'!$I21-SUM('Phase II Pro Forma'!$E342:I342),'Phase II Pro Forma'!J$336-SUM(J$339:J341))</f>
        <v>0</v>
      </c>
      <c r="K342" s="151">
        <f ca="1">+MIN('S&amp;U'!$I21-SUM('Phase II Pro Forma'!$E342:J342),'Phase II Pro Forma'!K$336-SUM(K$339:K341))</f>
        <v>0</v>
      </c>
      <c r="L342" s="151">
        <f ca="1">+MIN('S&amp;U'!$I21-SUM('Phase II Pro Forma'!$E342:K342),'Phase II Pro Forma'!L$336-SUM(L$339:L341))</f>
        <v>0</v>
      </c>
      <c r="M342" s="151">
        <f ca="1">+MIN('S&amp;U'!$I21-SUM('Phase II Pro Forma'!$E342:L342),'Phase II Pro Forma'!M$336-SUM(M$339:M341))</f>
        <v>0</v>
      </c>
      <c r="N342" s="151">
        <f ca="1">+MIN('S&amp;U'!$I21-SUM('Phase II Pro Forma'!$E342:M342),'Phase II Pro Forma'!N$336-SUM(N$339:N341))</f>
        <v>0</v>
      </c>
      <c r="O342" s="151">
        <f ca="1">+MIN('S&amp;U'!$I21-SUM('Phase II Pro Forma'!$E342:N342),'Phase II Pro Forma'!O$336-SUM(O$339:O341))</f>
        <v>0</v>
      </c>
      <c r="P342" s="151">
        <f ca="1">+MIN('S&amp;U'!$I21-SUM('Phase II Pro Forma'!$E342:O342),'Phase II Pro Forma'!P$336-SUM(P$339:P341))</f>
        <v>0</v>
      </c>
      <c r="Q342" s="151">
        <f ca="1">+MIN('S&amp;U'!$I21-SUM('Phase II Pro Forma'!$E342:P342),'Phase II Pro Forma'!Q$336-SUM(Q$339:Q341))</f>
        <v>0</v>
      </c>
      <c r="R342" s="151">
        <f ca="1">+MIN('S&amp;U'!$I21-SUM('Phase II Pro Forma'!$E342:Q342),'Phase II Pro Forma'!R$336-SUM(R$339:R341))</f>
        <v>0</v>
      </c>
      <c r="S342" s="151">
        <f ca="1">+MIN('S&amp;U'!$I21-SUM('Phase II Pro Forma'!$E342:R342),'Phase II Pro Forma'!S$336-SUM(S$339:S341))</f>
        <v>0</v>
      </c>
      <c r="T342" s="151">
        <f ca="1">+MIN('S&amp;U'!$I21-SUM('Phase II Pro Forma'!$E342:S342),'Phase II Pro Forma'!T$336-SUM(T$339:T341))</f>
        <v>0</v>
      </c>
      <c r="U342" s="151">
        <f ca="1">+MIN('S&amp;U'!$I21-SUM('Phase II Pro Forma'!$E342:T342),'Phase II Pro Forma'!U$336-SUM(U$339:U341))</f>
        <v>0</v>
      </c>
      <c r="V342" s="151">
        <f ca="1">+MIN('S&amp;U'!$I21-SUM('Phase II Pro Forma'!$E342:U342),'Phase II Pro Forma'!V$336-SUM(V$339:V341))</f>
        <v>0</v>
      </c>
      <c r="W342" s="151">
        <f ca="1">+MIN('S&amp;U'!$I21-SUM('Phase II Pro Forma'!$E342:V342),'Phase II Pro Forma'!W$336-SUM(W$339:W341))</f>
        <v>0</v>
      </c>
      <c r="X342" s="151">
        <f ca="1">+MIN('S&amp;U'!$I21-SUM('Phase II Pro Forma'!$E342:W342),'Phase II Pro Forma'!X$336-SUM(X$339:X341))</f>
        <v>0</v>
      </c>
      <c r="Y342" s="151">
        <f ca="1">+MIN('S&amp;U'!$I21-SUM('Phase II Pro Forma'!$E342:X342),'Phase II Pro Forma'!Y$336-SUM(Y$339:Y341))</f>
        <v>0</v>
      </c>
      <c r="Z342" s="151">
        <f ca="1">+MIN('S&amp;U'!$I21-SUM('Phase II Pro Forma'!$E342:Y342),'Phase II Pro Forma'!Z$336-SUM(Z$339:Z341))</f>
        <v>0</v>
      </c>
    </row>
    <row r="343" spans="2:26" x14ac:dyDescent="0.35">
      <c r="B343" s="33" t="s">
        <v>620</v>
      </c>
      <c r="D343" s="48">
        <f t="shared" ref="D343" ca="1" si="186">+SUM(F343:Z343)</f>
        <v>0</v>
      </c>
      <c r="E343" s="48"/>
      <c r="F343" s="151">
        <f ca="1">+MIN('S&amp;U'!$I22-SUM('Phase II Pro Forma'!$E343:E343),'Phase II Pro Forma'!F$336-SUM(F$339:F342))</f>
        <v>0</v>
      </c>
      <c r="G343" s="151">
        <f ca="1">+MIN('S&amp;U'!$I22-SUM('Phase II Pro Forma'!$E343:F343),'Phase II Pro Forma'!G$336-SUM(G$339:G342))</f>
        <v>0</v>
      </c>
      <c r="H343" s="151">
        <f ca="1">+MIN('S&amp;U'!$I22-SUM('Phase II Pro Forma'!$E343:G343),'Phase II Pro Forma'!H$336-SUM(H$339:H342))</f>
        <v>0</v>
      </c>
      <c r="I343" s="151">
        <f ca="1">+MIN('S&amp;U'!$I22-SUM('Phase II Pro Forma'!$E343:H343),'Phase II Pro Forma'!I$336-SUM(I$339:I342))</f>
        <v>0</v>
      </c>
      <c r="J343" s="151">
        <f ca="1">+MIN('S&amp;U'!$I22-SUM('Phase II Pro Forma'!$E343:I343),'Phase II Pro Forma'!J$336-SUM(J$339:J342))</f>
        <v>0</v>
      </c>
      <c r="K343" s="151">
        <f ca="1">+MIN('S&amp;U'!$I22-SUM('Phase II Pro Forma'!$E343:J343),'Phase II Pro Forma'!K$336-SUM(K$339:K342))</f>
        <v>0</v>
      </c>
      <c r="L343" s="151">
        <f ca="1">+MIN('S&amp;U'!$I22-SUM('Phase II Pro Forma'!$E343:K343),'Phase II Pro Forma'!L$336-SUM(L$339:L342))</f>
        <v>0</v>
      </c>
      <c r="M343" s="151">
        <f ca="1">+MIN('S&amp;U'!$I22-SUM('Phase II Pro Forma'!$E343:L343),'Phase II Pro Forma'!M$336-SUM(M$339:M342))</f>
        <v>0</v>
      </c>
      <c r="N343" s="151">
        <f ca="1">+MIN('S&amp;U'!$I22-SUM('Phase II Pro Forma'!$E343:M343),'Phase II Pro Forma'!N$336-SUM(N$339:N342))</f>
        <v>0</v>
      </c>
      <c r="O343" s="151">
        <f ca="1">+MIN('S&amp;U'!$I22-SUM('Phase II Pro Forma'!$E343:N343),'Phase II Pro Forma'!O$336-SUM(O$339:O342))</f>
        <v>0</v>
      </c>
      <c r="P343" s="151">
        <f ca="1">+MIN('S&amp;U'!$I22-SUM('Phase II Pro Forma'!$E343:O343),'Phase II Pro Forma'!P$336-SUM(P$339:P342))</f>
        <v>0</v>
      </c>
      <c r="Q343" s="151">
        <f ca="1">+MIN('S&amp;U'!$I22-SUM('Phase II Pro Forma'!$E343:P343),'Phase II Pro Forma'!Q$336-SUM(Q$339:Q342))</f>
        <v>0</v>
      </c>
      <c r="R343" s="151">
        <f ca="1">+MIN('S&amp;U'!$I22-SUM('Phase II Pro Forma'!$E343:Q343),'Phase II Pro Forma'!R$336-SUM(R$339:R342))</f>
        <v>0</v>
      </c>
      <c r="S343" s="151">
        <f ca="1">+MIN('S&amp;U'!$I22-SUM('Phase II Pro Forma'!$E343:R343),'Phase II Pro Forma'!S$336-SUM(S$339:S342))</f>
        <v>0</v>
      </c>
      <c r="T343" s="151">
        <f ca="1">+MIN('S&amp;U'!$I22-SUM('Phase II Pro Forma'!$E343:S343),'Phase II Pro Forma'!T$336-SUM(T$339:T342))</f>
        <v>0</v>
      </c>
      <c r="U343" s="151">
        <f ca="1">+MIN('S&amp;U'!$I22-SUM('Phase II Pro Forma'!$E343:T343),'Phase II Pro Forma'!U$336-SUM(U$339:U342))</f>
        <v>0</v>
      </c>
      <c r="V343" s="151">
        <f ca="1">+MIN('S&amp;U'!$I22-SUM('Phase II Pro Forma'!$E343:U343),'Phase II Pro Forma'!V$336-SUM(V$339:V342))</f>
        <v>0</v>
      </c>
      <c r="W343" s="151">
        <f ca="1">+MIN('S&amp;U'!$I22-SUM('Phase II Pro Forma'!$E343:V343),'Phase II Pro Forma'!W$336-SUM(W$339:W342))</f>
        <v>0</v>
      </c>
      <c r="X343" s="151">
        <f ca="1">+MIN('S&amp;U'!$I22-SUM('Phase II Pro Forma'!$E343:W343),'Phase II Pro Forma'!X$336-SUM(X$339:X342))</f>
        <v>0</v>
      </c>
      <c r="Y343" s="151">
        <f ca="1">+MIN('S&amp;U'!$I22-SUM('Phase II Pro Forma'!$E343:X343),'Phase II Pro Forma'!Y$336-SUM(Y$339:Y342))</f>
        <v>0</v>
      </c>
      <c r="Z343" s="151">
        <f ca="1">+MIN('S&amp;U'!$I22-SUM('Phase II Pro Forma'!$E343:Y343),'Phase II Pro Forma'!Z$336-SUM(Z$339:Z342))</f>
        <v>0</v>
      </c>
    </row>
    <row r="344" spans="2:26" x14ac:dyDescent="0.35">
      <c r="B344" s="33" t="s">
        <v>336</v>
      </c>
      <c r="D344" s="48">
        <f t="shared" si="185"/>
        <v>0</v>
      </c>
      <c r="E344" s="48"/>
      <c r="F344" s="151">
        <v>0</v>
      </c>
      <c r="G344" s="151">
        <v>0</v>
      </c>
      <c r="H344" s="151">
        <v>0</v>
      </c>
      <c r="I344" s="151">
        <v>0</v>
      </c>
      <c r="J344" s="151">
        <v>0</v>
      </c>
      <c r="K344" s="151">
        <v>0</v>
      </c>
      <c r="L344" s="151">
        <v>0</v>
      </c>
      <c r="M344" s="151">
        <v>0</v>
      </c>
      <c r="N344" s="151">
        <v>0</v>
      </c>
      <c r="O344" s="151">
        <v>0</v>
      </c>
      <c r="P344" s="151">
        <v>0</v>
      </c>
      <c r="Q344" s="151">
        <v>0</v>
      </c>
      <c r="R344" s="151">
        <v>0</v>
      </c>
      <c r="S344" s="151">
        <v>0</v>
      </c>
      <c r="T344" s="151">
        <v>0</v>
      </c>
      <c r="U344" s="151">
        <v>0</v>
      </c>
      <c r="V344" s="151">
        <v>0</v>
      </c>
      <c r="W344" s="151">
        <v>0</v>
      </c>
      <c r="X344" s="151">
        <v>0</v>
      </c>
      <c r="Y344" s="151">
        <v>0</v>
      </c>
      <c r="Z344" s="151">
        <v>0</v>
      </c>
    </row>
    <row r="345" spans="2:26" x14ac:dyDescent="0.35">
      <c r="B345" s="33" t="s">
        <v>98</v>
      </c>
      <c r="D345" s="48">
        <f t="shared" ca="1" si="185"/>
        <v>43584912.158747934</v>
      </c>
      <c r="E345" s="48"/>
      <c r="F345" s="151">
        <f ca="1">+MIN('S&amp;U'!$I26-SUM('Phase II Pro Forma'!$E345:E345),'Phase II Pro Forma'!F$336-SUM(F$339:F344))</f>
        <v>0</v>
      </c>
      <c r="G345" s="151">
        <f ca="1">+MIN('S&amp;U'!$I26-SUM('Phase II Pro Forma'!$E345:F345),'Phase II Pro Forma'!G$336-SUM(G$339:G344))</f>
        <v>0</v>
      </c>
      <c r="H345" s="151">
        <f ca="1">+MIN('S&amp;U'!$I26-SUM('Phase II Pro Forma'!$E345:G345),'Phase II Pro Forma'!H$336-SUM(H$339:H344))</f>
        <v>40367567.43714758</v>
      </c>
      <c r="I345" s="151">
        <f ca="1">+MIN('S&amp;U'!$I26-SUM('Phase II Pro Forma'!$E345:H345),'Phase II Pro Forma'!I$336-SUM(I$339:I344))</f>
        <v>1608672.360800195</v>
      </c>
      <c r="J345" s="151">
        <f ca="1">+MIN('S&amp;U'!$I26-SUM('Phase II Pro Forma'!$E345:I345),'Phase II Pro Forma'!J$336-SUM(J$339:J344))</f>
        <v>1608672.360800195</v>
      </c>
      <c r="K345" s="151">
        <f ca="1">+MIN('S&amp;U'!$I26-SUM('Phase II Pro Forma'!$E345:J345),'Phase II Pro Forma'!K$336-SUM(K$339:K344))</f>
        <v>0</v>
      </c>
      <c r="L345" s="151">
        <f ca="1">+MIN('S&amp;U'!$I26-SUM('Phase II Pro Forma'!$E345:K345),'Phase II Pro Forma'!L$336-SUM(L$339:L344))</f>
        <v>0</v>
      </c>
      <c r="M345" s="151">
        <f ca="1">+MIN('S&amp;U'!$I26-SUM('Phase II Pro Forma'!$E345:L345),'Phase II Pro Forma'!M$336-SUM(M$339:M344))</f>
        <v>0</v>
      </c>
      <c r="N345" s="151">
        <f ca="1">+MIN('S&amp;U'!$I26-SUM('Phase II Pro Forma'!$E345:M345),'Phase II Pro Forma'!N$336-SUM(N$339:N344))</f>
        <v>0</v>
      </c>
      <c r="O345" s="151">
        <f ca="1">+MIN('S&amp;U'!$I26-SUM('Phase II Pro Forma'!$E345:N345),'Phase II Pro Forma'!O$336-SUM(O$339:O344))</f>
        <v>0</v>
      </c>
      <c r="P345" s="151">
        <f ca="1">+MIN('S&amp;U'!$I26-SUM('Phase II Pro Forma'!$E345:O345),'Phase II Pro Forma'!P$336-SUM(P$339:P344))</f>
        <v>0</v>
      </c>
      <c r="Q345" s="151">
        <f ca="1">+MIN('S&amp;U'!$I26-SUM('Phase II Pro Forma'!$E345:P345),'Phase II Pro Forma'!Q$336-SUM(Q$339:Q344))</f>
        <v>0</v>
      </c>
      <c r="R345" s="151">
        <f ca="1">+MIN('S&amp;U'!$I26-SUM('Phase II Pro Forma'!$E345:Q345),'Phase II Pro Forma'!R$336-SUM(R$339:R344))</f>
        <v>0</v>
      </c>
      <c r="S345" s="151">
        <f ca="1">+MIN('S&amp;U'!$I26-SUM('Phase II Pro Forma'!$E345:R345),'Phase II Pro Forma'!S$336-SUM(S$339:S344))</f>
        <v>0</v>
      </c>
      <c r="T345" s="151">
        <f ca="1">+MIN('S&amp;U'!$I26-SUM('Phase II Pro Forma'!$E345:S345),'Phase II Pro Forma'!T$336-SUM(T$339:T344))</f>
        <v>0</v>
      </c>
      <c r="U345" s="151">
        <f ca="1">+MIN('S&amp;U'!$I26-SUM('Phase II Pro Forma'!$E345:T345),'Phase II Pro Forma'!U$336-SUM(U$339:U344))</f>
        <v>0</v>
      </c>
      <c r="V345" s="151">
        <f ca="1">+MIN('S&amp;U'!$I26-SUM('Phase II Pro Forma'!$E345:U345),'Phase II Pro Forma'!V$336-SUM(V$339:V344))</f>
        <v>0</v>
      </c>
      <c r="W345" s="151">
        <f ca="1">+MIN('S&amp;U'!$I26-SUM('Phase II Pro Forma'!$E345:V345),'Phase II Pro Forma'!W$336-SUM(W$339:W344))</f>
        <v>0</v>
      </c>
      <c r="X345" s="151">
        <f ca="1">+MIN('S&amp;U'!$I26-SUM('Phase II Pro Forma'!$E345:W345),'Phase II Pro Forma'!X$336-SUM(X$339:X344))</f>
        <v>0</v>
      </c>
      <c r="Y345" s="151">
        <f ca="1">+MIN('S&amp;U'!$I26-SUM('Phase II Pro Forma'!$E345:X345),'Phase II Pro Forma'!Y$336-SUM(Y$339:Y344))</f>
        <v>0</v>
      </c>
      <c r="Z345" s="151">
        <f ca="1">+MIN('S&amp;U'!$I26-SUM('Phase II Pro Forma'!$E345:Y345),'Phase II Pro Forma'!Z$336-SUM(Z$339:Z344))</f>
        <v>0</v>
      </c>
    </row>
    <row r="346" spans="2:26" x14ac:dyDescent="0.35">
      <c r="B346" s="138" t="s">
        <v>383</v>
      </c>
      <c r="C346" s="138"/>
      <c r="D346" s="139">
        <f t="shared" ca="1" si="185"/>
        <v>205687121.63588879</v>
      </c>
      <c r="E346" s="139"/>
      <c r="F346" s="139">
        <f t="shared" ref="F346:Z346" ca="1" si="187">+SUM(F339:F345)</f>
        <v>18868356.37705791</v>
      </c>
      <c r="G346" s="139">
        <f t="shared" ca="1" si="187"/>
        <v>91800710.268615231</v>
      </c>
      <c r="H346" s="139">
        <f t="shared" ca="1" si="187"/>
        <v>91800710.268615231</v>
      </c>
      <c r="I346" s="139">
        <f t="shared" ca="1" si="187"/>
        <v>1608672.360800195</v>
      </c>
      <c r="J346" s="139">
        <f t="shared" ca="1" si="187"/>
        <v>1608672.360800195</v>
      </c>
      <c r="K346" s="139">
        <f t="shared" ca="1" si="187"/>
        <v>0</v>
      </c>
      <c r="L346" s="139">
        <f t="shared" ca="1" si="187"/>
        <v>0</v>
      </c>
      <c r="M346" s="139">
        <f t="shared" ca="1" si="187"/>
        <v>0</v>
      </c>
      <c r="N346" s="139">
        <f t="shared" ca="1" si="187"/>
        <v>0</v>
      </c>
      <c r="O346" s="139">
        <f t="shared" ca="1" si="187"/>
        <v>0</v>
      </c>
      <c r="P346" s="139">
        <f t="shared" ca="1" si="187"/>
        <v>0</v>
      </c>
      <c r="Q346" s="139">
        <f t="shared" ca="1" si="187"/>
        <v>0</v>
      </c>
      <c r="R346" s="139">
        <f t="shared" ca="1" si="187"/>
        <v>0</v>
      </c>
      <c r="S346" s="139">
        <f t="shared" ca="1" si="187"/>
        <v>0</v>
      </c>
      <c r="T346" s="139">
        <f t="shared" ca="1" si="187"/>
        <v>0</v>
      </c>
      <c r="U346" s="139">
        <f t="shared" ca="1" si="187"/>
        <v>0</v>
      </c>
      <c r="V346" s="139">
        <f t="shared" ca="1" si="187"/>
        <v>0</v>
      </c>
      <c r="W346" s="139">
        <f t="shared" ca="1" si="187"/>
        <v>0</v>
      </c>
      <c r="X346" s="139">
        <f t="shared" ca="1" si="187"/>
        <v>0</v>
      </c>
      <c r="Y346" s="139">
        <f t="shared" ca="1" si="187"/>
        <v>0</v>
      </c>
      <c r="Z346" s="139">
        <f t="shared" ca="1" si="187"/>
        <v>0</v>
      </c>
    </row>
    <row r="348" spans="2:26" x14ac:dyDescent="0.35">
      <c r="B348" s="148" t="s">
        <v>354</v>
      </c>
    </row>
    <row r="349" spans="2:26" x14ac:dyDescent="0.35">
      <c r="B349" s="33" t="s">
        <v>355</v>
      </c>
      <c r="D349" s="48">
        <f ca="1">+SUM(F349:Z349)</f>
        <v>-153269869.74662387</v>
      </c>
      <c r="E349" s="48"/>
      <c r="F349" s="34">
        <f ca="1">-F339</f>
        <v>-18868356.37705791</v>
      </c>
      <c r="G349" s="34">
        <f t="shared" ref="G349:Z349" ca="1" si="188">-G339</f>
        <v>-91800710.268615231</v>
      </c>
      <c r="H349" s="34">
        <f t="shared" ca="1" si="188"/>
        <v>-42600803.100950703</v>
      </c>
      <c r="I349" s="34">
        <f t="shared" ca="1" si="188"/>
        <v>0</v>
      </c>
      <c r="J349" s="34">
        <f t="shared" ca="1" si="188"/>
        <v>0</v>
      </c>
      <c r="K349" s="34">
        <f t="shared" ca="1" si="188"/>
        <v>0</v>
      </c>
      <c r="L349" s="34">
        <f t="shared" ca="1" si="188"/>
        <v>0</v>
      </c>
      <c r="M349" s="34">
        <f t="shared" ca="1" si="188"/>
        <v>0</v>
      </c>
      <c r="N349" s="34">
        <f t="shared" ca="1" si="188"/>
        <v>0</v>
      </c>
      <c r="O349" s="34">
        <f t="shared" ca="1" si="188"/>
        <v>0</v>
      </c>
      <c r="P349" s="34">
        <f t="shared" ca="1" si="188"/>
        <v>0</v>
      </c>
      <c r="Q349" s="34">
        <f t="shared" ca="1" si="188"/>
        <v>0</v>
      </c>
      <c r="R349" s="34">
        <f t="shared" ca="1" si="188"/>
        <v>0</v>
      </c>
      <c r="S349" s="34">
        <f t="shared" ca="1" si="188"/>
        <v>0</v>
      </c>
      <c r="T349" s="34">
        <f t="shared" ca="1" si="188"/>
        <v>0</v>
      </c>
      <c r="U349" s="34">
        <f t="shared" ca="1" si="188"/>
        <v>0</v>
      </c>
      <c r="V349" s="34">
        <f t="shared" ca="1" si="188"/>
        <v>0</v>
      </c>
      <c r="W349" s="34">
        <f t="shared" ca="1" si="188"/>
        <v>0</v>
      </c>
      <c r="X349" s="34">
        <f t="shared" ca="1" si="188"/>
        <v>0</v>
      </c>
      <c r="Y349" s="34">
        <f t="shared" ca="1" si="188"/>
        <v>0</v>
      </c>
      <c r="Z349" s="34">
        <f t="shared" ca="1" si="188"/>
        <v>0</v>
      </c>
    </row>
    <row r="350" spans="2:26" x14ac:dyDescent="0.35">
      <c r="B350" s="33" t="s">
        <v>356</v>
      </c>
      <c r="D350" s="48">
        <f t="shared" ref="D350" ca="1" si="189">+SUM(F350:Z350)</f>
        <v>342165571.59682</v>
      </c>
      <c r="E350" s="48"/>
      <c r="F350" s="151">
        <f ca="1">+IF(YEAR(F$140)&lt;=YEAR(Assumptions!$G$30),F321+F326,0)</f>
        <v>0</v>
      </c>
      <c r="G350" s="151">
        <f ca="1">+IF(YEAR(G$140)&lt;=YEAR(Assumptions!$G$30),G321+G326,0)</f>
        <v>0</v>
      </c>
      <c r="H350" s="151">
        <f ca="1">+IF(YEAR(H$140)&lt;=YEAR(Assumptions!$G$30),H321+H326,0)</f>
        <v>0</v>
      </c>
      <c r="I350" s="151">
        <f ca="1">+IF(YEAR(I$140)&lt;=YEAR(Assumptions!$G$30),I321+I326,0)</f>
        <v>6946822.2629323117</v>
      </c>
      <c r="J350" s="151">
        <f ca="1">+IF(YEAR(J$140)&lt;=YEAR(Assumptions!$G$30),J321+J326,0)</f>
        <v>14485528.459140714</v>
      </c>
      <c r="K350" s="151">
        <f ca="1">+IF(YEAR(K$140)&lt;=YEAR(Assumptions!$G$30),K321+K326,0)</f>
        <v>14919107.173988493</v>
      </c>
      <c r="L350" s="151">
        <f ca="1">+IF(YEAR(L$140)&lt;=YEAR(Assumptions!$G$30),L321+L326,0)</f>
        <v>15824066.265007693</v>
      </c>
      <c r="M350" s="151">
        <f ca="1">+IF(YEAR(M$140)&lt;=YEAR(Assumptions!$G$30),M321+M326,0)</f>
        <v>16063300.346618453</v>
      </c>
      <c r="N350" s="151">
        <f ca="1">+IF(YEAR(N$140)&lt;=YEAR(Assumptions!$G$30),N321+N326,0)</f>
        <v>273926747.08913243</v>
      </c>
      <c r="O350" s="151">
        <f>+IF(YEAR(O$140)&lt;=YEAR(Assumptions!$G$30),O321+O326,0)</f>
        <v>0</v>
      </c>
      <c r="P350" s="151">
        <f>+IF(YEAR(P$140)&lt;=YEAR(Assumptions!$G$30),P321+P326,0)</f>
        <v>0</v>
      </c>
      <c r="Q350" s="151">
        <f>+IF(YEAR(Q$140)&lt;=YEAR(Assumptions!$G$30),Q321+Q326,0)</f>
        <v>0</v>
      </c>
      <c r="R350" s="151">
        <f>+IF(YEAR(R$140)&lt;=YEAR(Assumptions!$G$30),R321+R326,0)</f>
        <v>0</v>
      </c>
      <c r="S350" s="151">
        <f>+IF(YEAR(S$140)&lt;=YEAR(Assumptions!$G$30),S321+S326,0)</f>
        <v>0</v>
      </c>
      <c r="T350" s="151">
        <f>+IF(YEAR(T$140)&lt;=YEAR(Assumptions!$G$30),T321+T326,0)</f>
        <v>0</v>
      </c>
      <c r="U350" s="151">
        <f>+IF(YEAR(U$140)&lt;=YEAR(Assumptions!$G$30),U321+U326,0)</f>
        <v>0</v>
      </c>
      <c r="V350" s="151">
        <f>+IF(YEAR(V$140)&lt;=YEAR(Assumptions!$G$30),V321+V326,0)</f>
        <v>0</v>
      </c>
      <c r="W350" s="151">
        <f>+IF(YEAR(W$140)&lt;=YEAR(Assumptions!$G$30),W321+W326,0)</f>
        <v>0</v>
      </c>
      <c r="X350" s="151">
        <f>+IF(YEAR(X$140)&lt;=YEAR(Assumptions!$G$30),X321+X326,0)</f>
        <v>0</v>
      </c>
      <c r="Y350" s="151">
        <f>+IF(YEAR(Y$140)&lt;=YEAR(Assumptions!$G$30),Y321+Y326,0)</f>
        <v>0</v>
      </c>
      <c r="Z350" s="151">
        <f>+IF(YEAR(Z$140)&lt;=YEAR(Assumptions!$G$30),Z321+Z326,0)</f>
        <v>0</v>
      </c>
    </row>
    <row r="351" spans="2:26" x14ac:dyDescent="0.35">
      <c r="B351" s="138" t="s">
        <v>357</v>
      </c>
      <c r="C351" s="138"/>
      <c r="D351" s="139">
        <f ca="1">+SUM(F351:Z351)</f>
        <v>188895701.85019606</v>
      </c>
      <c r="E351" s="139"/>
      <c r="F351" s="139">
        <f ca="1">+SUM(F349:F350)</f>
        <v>-18868356.37705791</v>
      </c>
      <c r="G351" s="139">
        <f t="shared" ref="G351:Z351" ca="1" si="190">+SUM(G349:G350)</f>
        <v>-91800710.268615231</v>
      </c>
      <c r="H351" s="139">
        <f t="shared" ca="1" si="190"/>
        <v>-42600803.100950703</v>
      </c>
      <c r="I351" s="139">
        <f t="shared" ca="1" si="190"/>
        <v>6946822.2629323117</v>
      </c>
      <c r="J351" s="139">
        <f t="shared" ca="1" si="190"/>
        <v>14485528.459140714</v>
      </c>
      <c r="K351" s="139">
        <f t="shared" ca="1" si="190"/>
        <v>14919107.173988493</v>
      </c>
      <c r="L351" s="139">
        <f t="shared" ca="1" si="190"/>
        <v>15824066.265007693</v>
      </c>
      <c r="M351" s="139">
        <f t="shared" ca="1" si="190"/>
        <v>16063300.346618453</v>
      </c>
      <c r="N351" s="139">
        <f t="shared" ca="1" si="190"/>
        <v>273926747.08913243</v>
      </c>
      <c r="O351" s="139">
        <f t="shared" ca="1" si="190"/>
        <v>0</v>
      </c>
      <c r="P351" s="139">
        <f t="shared" ca="1" si="190"/>
        <v>0</v>
      </c>
      <c r="Q351" s="139">
        <f t="shared" ca="1" si="190"/>
        <v>0</v>
      </c>
      <c r="R351" s="139">
        <f t="shared" ca="1" si="190"/>
        <v>0</v>
      </c>
      <c r="S351" s="139">
        <f t="shared" ca="1" si="190"/>
        <v>0</v>
      </c>
      <c r="T351" s="139">
        <f t="shared" ca="1" si="190"/>
        <v>0</v>
      </c>
      <c r="U351" s="139">
        <f t="shared" ca="1" si="190"/>
        <v>0</v>
      </c>
      <c r="V351" s="139">
        <f t="shared" ca="1" si="190"/>
        <v>0</v>
      </c>
      <c r="W351" s="139">
        <f t="shared" ca="1" si="190"/>
        <v>0</v>
      </c>
      <c r="X351" s="139">
        <f t="shared" ca="1" si="190"/>
        <v>0</v>
      </c>
      <c r="Y351" s="139">
        <f t="shared" ca="1" si="190"/>
        <v>0</v>
      </c>
      <c r="Z351" s="139">
        <f t="shared" ca="1" si="190"/>
        <v>0</v>
      </c>
    </row>
    <row r="353" spans="2:26" x14ac:dyDescent="0.35">
      <c r="B353" s="190" t="s">
        <v>399</v>
      </c>
      <c r="C353" s="190"/>
      <c r="D353" s="191">
        <f ca="1">+IRR(F351:Z351)</f>
        <v>0.13786783674743441</v>
      </c>
    </row>
    <row r="354" spans="2:26" x14ac:dyDescent="0.35">
      <c r="B354" s="141" t="s">
        <v>359</v>
      </c>
      <c r="C354" s="192"/>
      <c r="D354" s="142">
        <f ca="1">+SUM(F351:Z351)</f>
        <v>188895701.85019624</v>
      </c>
    </row>
    <row r="355" spans="2:26" x14ac:dyDescent="0.35">
      <c r="B355" s="194" t="s">
        <v>360</v>
      </c>
      <c r="C355" s="193"/>
      <c r="D355" s="195">
        <f ca="1">+D350/-D349</f>
        <v>2.2324385879786197</v>
      </c>
    </row>
    <row r="357" spans="2:26" x14ac:dyDescent="0.35">
      <c r="B357" s="37" t="s">
        <v>417</v>
      </c>
      <c r="C357" s="38"/>
      <c r="D357" s="38"/>
      <c r="E357" s="38"/>
      <c r="F357" s="136">
        <f>+F338</f>
        <v>44926</v>
      </c>
      <c r="G357" s="136">
        <f t="shared" ref="G357:Z357" si="191">+G338</f>
        <v>45291</v>
      </c>
      <c r="H357" s="136">
        <f t="shared" si="191"/>
        <v>45657</v>
      </c>
      <c r="I357" s="136">
        <f t="shared" si="191"/>
        <v>46022</v>
      </c>
      <c r="J357" s="136">
        <f t="shared" si="191"/>
        <v>46387</v>
      </c>
      <c r="K357" s="136">
        <f t="shared" si="191"/>
        <v>46752</v>
      </c>
      <c r="L357" s="136">
        <f t="shared" si="191"/>
        <v>47118</v>
      </c>
      <c r="M357" s="136">
        <f t="shared" si="191"/>
        <v>47483</v>
      </c>
      <c r="N357" s="136">
        <f t="shared" si="191"/>
        <v>47848</v>
      </c>
      <c r="O357" s="136">
        <f t="shared" si="191"/>
        <v>48213</v>
      </c>
      <c r="P357" s="136">
        <f t="shared" si="191"/>
        <v>48579</v>
      </c>
      <c r="Q357" s="136">
        <f t="shared" si="191"/>
        <v>48944</v>
      </c>
      <c r="R357" s="136">
        <f t="shared" si="191"/>
        <v>49309</v>
      </c>
      <c r="S357" s="136">
        <f t="shared" si="191"/>
        <v>49674</v>
      </c>
      <c r="T357" s="136">
        <f t="shared" si="191"/>
        <v>50040</v>
      </c>
      <c r="U357" s="136">
        <f t="shared" si="191"/>
        <v>50405</v>
      </c>
      <c r="V357" s="136">
        <f t="shared" si="191"/>
        <v>50770</v>
      </c>
      <c r="W357" s="136">
        <f t="shared" si="191"/>
        <v>51135</v>
      </c>
      <c r="X357" s="136">
        <f t="shared" si="191"/>
        <v>51501</v>
      </c>
      <c r="Y357" s="136">
        <f t="shared" si="191"/>
        <v>51866</v>
      </c>
      <c r="Z357" s="136">
        <f t="shared" si="191"/>
        <v>52231</v>
      </c>
    </row>
    <row r="358" spans="2:26" x14ac:dyDescent="0.35">
      <c r="B358" s="119"/>
    </row>
    <row r="359" spans="2:26" x14ac:dyDescent="0.35">
      <c r="B359" s="148" t="s">
        <v>413</v>
      </c>
      <c r="F359" s="148">
        <v>0</v>
      </c>
      <c r="G359" s="148">
        <f>+F359+1</f>
        <v>1</v>
      </c>
      <c r="H359" s="148">
        <f t="shared" ref="H359:Z359" si="192">+G359+1</f>
        <v>2</v>
      </c>
      <c r="I359" s="148">
        <f t="shared" si="192"/>
        <v>3</v>
      </c>
      <c r="J359" s="148">
        <f t="shared" si="192"/>
        <v>4</v>
      </c>
      <c r="K359" s="148">
        <f t="shared" si="192"/>
        <v>5</v>
      </c>
      <c r="L359" s="148">
        <f t="shared" si="192"/>
        <v>6</v>
      </c>
      <c r="M359" s="148">
        <f t="shared" si="192"/>
        <v>7</v>
      </c>
      <c r="N359" s="148">
        <f t="shared" si="192"/>
        <v>8</v>
      </c>
      <c r="O359" s="148">
        <f t="shared" si="192"/>
        <v>9</v>
      </c>
      <c r="P359" s="148">
        <f t="shared" si="192"/>
        <v>10</v>
      </c>
      <c r="Q359" s="148">
        <f t="shared" si="192"/>
        <v>11</v>
      </c>
      <c r="R359" s="148">
        <f t="shared" si="192"/>
        <v>12</v>
      </c>
      <c r="S359" s="148">
        <f t="shared" si="192"/>
        <v>13</v>
      </c>
      <c r="T359" s="148">
        <f t="shared" si="192"/>
        <v>14</v>
      </c>
      <c r="U359" s="148">
        <f t="shared" si="192"/>
        <v>15</v>
      </c>
      <c r="V359" s="148">
        <f t="shared" si="192"/>
        <v>16</v>
      </c>
      <c r="W359" s="148">
        <f t="shared" si="192"/>
        <v>17</v>
      </c>
      <c r="X359" s="148">
        <f t="shared" si="192"/>
        <v>18</v>
      </c>
      <c r="Y359" s="148">
        <f t="shared" si="192"/>
        <v>19</v>
      </c>
      <c r="Z359" s="148">
        <f t="shared" si="192"/>
        <v>20</v>
      </c>
    </row>
    <row r="360" spans="2:26" x14ac:dyDescent="0.35">
      <c r="B360" s="33" t="s">
        <v>404</v>
      </c>
      <c r="D360" s="48"/>
      <c r="E360" s="48"/>
      <c r="F360" s="34">
        <f ca="1">+F$349</f>
        <v>-18868356.37705791</v>
      </c>
      <c r="G360" s="34">
        <f t="shared" ref="G360:Z360" ca="1" si="193">+G$349</f>
        <v>-91800710.268615231</v>
      </c>
      <c r="H360" s="34">
        <f t="shared" ca="1" si="193"/>
        <v>-42600803.100950703</v>
      </c>
      <c r="I360" s="34">
        <f t="shared" ca="1" si="193"/>
        <v>0</v>
      </c>
      <c r="J360" s="34">
        <f t="shared" ca="1" si="193"/>
        <v>0</v>
      </c>
      <c r="K360" s="34">
        <f t="shared" ca="1" si="193"/>
        <v>0</v>
      </c>
      <c r="L360" s="34">
        <f t="shared" ca="1" si="193"/>
        <v>0</v>
      </c>
      <c r="M360" s="34">
        <f t="shared" ca="1" si="193"/>
        <v>0</v>
      </c>
      <c r="N360" s="34">
        <f t="shared" ca="1" si="193"/>
        <v>0</v>
      </c>
      <c r="O360" s="34">
        <f t="shared" ca="1" si="193"/>
        <v>0</v>
      </c>
      <c r="P360" s="34">
        <f t="shared" ca="1" si="193"/>
        <v>0</v>
      </c>
      <c r="Q360" s="34">
        <f t="shared" ca="1" si="193"/>
        <v>0</v>
      </c>
      <c r="R360" s="34">
        <f t="shared" ca="1" si="193"/>
        <v>0</v>
      </c>
      <c r="S360" s="34">
        <f t="shared" ca="1" si="193"/>
        <v>0</v>
      </c>
      <c r="T360" s="34">
        <f t="shared" ca="1" si="193"/>
        <v>0</v>
      </c>
      <c r="U360" s="34">
        <f t="shared" ca="1" si="193"/>
        <v>0</v>
      </c>
      <c r="V360" s="34">
        <f t="shared" ca="1" si="193"/>
        <v>0</v>
      </c>
      <c r="W360" s="34">
        <f t="shared" ca="1" si="193"/>
        <v>0</v>
      </c>
      <c r="X360" s="34">
        <f t="shared" ca="1" si="193"/>
        <v>0</v>
      </c>
      <c r="Y360" s="34">
        <f t="shared" ca="1" si="193"/>
        <v>0</v>
      </c>
      <c r="Z360" s="34">
        <f t="shared" ca="1" si="193"/>
        <v>0</v>
      </c>
    </row>
    <row r="361" spans="2:26" x14ac:dyDescent="0.35">
      <c r="B361" s="33" t="s">
        <v>422</v>
      </c>
      <c r="D361" s="48"/>
      <c r="E361" s="48"/>
      <c r="F361" s="151">
        <v>0</v>
      </c>
      <c r="G361" s="151">
        <v>0</v>
      </c>
      <c r="H361" s="151">
        <v>0</v>
      </c>
      <c r="I361" s="151">
        <v>0</v>
      </c>
      <c r="J361" s="151">
        <v>0</v>
      </c>
      <c r="K361" s="151">
        <v>0</v>
      </c>
      <c r="L361" s="151">
        <v>0</v>
      </c>
      <c r="M361" s="151">
        <v>0</v>
      </c>
      <c r="N361" s="151">
        <v>0</v>
      </c>
      <c r="O361" s="151">
        <v>0</v>
      </c>
      <c r="P361" s="151">
        <v>0</v>
      </c>
      <c r="Q361" s="151">
        <v>0</v>
      </c>
      <c r="R361" s="151">
        <v>0</v>
      </c>
      <c r="S361" s="151">
        <v>0</v>
      </c>
      <c r="T361" s="151">
        <v>0</v>
      </c>
      <c r="U361" s="151">
        <v>0</v>
      </c>
      <c r="V361" s="151">
        <v>0</v>
      </c>
      <c r="W361" s="151">
        <v>0</v>
      </c>
      <c r="X361" s="151">
        <v>0</v>
      </c>
      <c r="Y361" s="151">
        <v>0</v>
      </c>
      <c r="Z361" s="151">
        <v>0</v>
      </c>
    </row>
    <row r="362" spans="2:26" x14ac:dyDescent="0.35">
      <c r="B362" s="33" t="s">
        <v>423</v>
      </c>
      <c r="D362" s="48"/>
      <c r="E362" s="48"/>
      <c r="F362" s="151">
        <v>0</v>
      </c>
      <c r="G362" s="151">
        <v>0</v>
      </c>
      <c r="H362" s="151">
        <v>0</v>
      </c>
      <c r="I362" s="151">
        <v>0</v>
      </c>
      <c r="J362" s="151">
        <v>0</v>
      </c>
      <c r="K362" s="151">
        <v>0</v>
      </c>
      <c r="L362" s="151">
        <v>0</v>
      </c>
      <c r="M362" s="151">
        <v>0</v>
      </c>
      <c r="N362" s="151">
        <v>0</v>
      </c>
      <c r="O362" s="151">
        <v>0</v>
      </c>
      <c r="P362" s="151">
        <v>0</v>
      </c>
      <c r="Q362" s="151">
        <v>0</v>
      </c>
      <c r="R362" s="151">
        <v>0</v>
      </c>
      <c r="S362" s="151">
        <v>0</v>
      </c>
      <c r="T362" s="151">
        <v>0</v>
      </c>
      <c r="U362" s="151">
        <v>0</v>
      </c>
      <c r="V362" s="151">
        <v>0</v>
      </c>
      <c r="W362" s="151">
        <v>0</v>
      </c>
      <c r="X362" s="151">
        <v>0</v>
      </c>
      <c r="Y362" s="151">
        <v>0</v>
      </c>
      <c r="Z362" s="151">
        <v>0</v>
      </c>
    </row>
    <row r="363" spans="2:26" x14ac:dyDescent="0.35">
      <c r="B363" s="33" t="s">
        <v>414</v>
      </c>
      <c r="D363" s="48"/>
      <c r="E363" s="48"/>
      <c r="F363" s="151">
        <f ca="1">-SUM(F390:F391)*Assumptions!$M$192</f>
        <v>0</v>
      </c>
      <c r="G363" s="151">
        <f ca="1">-SUM(G390:G391)*Assumptions!$M$192</f>
        <v>0</v>
      </c>
      <c r="H363" s="151">
        <f ca="1">-SUM(H390:H391)*Assumptions!$M$192</f>
        <v>0</v>
      </c>
      <c r="I363" s="151">
        <f ca="1">-SUM(I390:I391)*Assumptions!$M$192</f>
        <v>-1458832.6752157854</v>
      </c>
      <c r="J363" s="151">
        <f ca="1">-SUM(J390:J391)*Assumptions!$M$192</f>
        <v>-1687310.9331329274</v>
      </c>
      <c r="K363" s="151">
        <f ca="1">-SUM(K390:K391)*Assumptions!$M$192</f>
        <v>-1778362.4632509614</v>
      </c>
      <c r="L363" s="151">
        <f ca="1">-SUM(L390:L391)*Assumptions!$M$192</f>
        <v>-1968403.8723649932</v>
      </c>
      <c r="M363" s="151">
        <f ca="1">-SUM(M390:M391)*Assumptions!$M$192</f>
        <v>-2018643.0295032524</v>
      </c>
      <c r="N363" s="151">
        <f ca="1">-SUM(N390:N391)*Assumptions!$M$192</f>
        <v>-2085651.5022110799</v>
      </c>
      <c r="O363" s="151">
        <f>-SUM(O390:O391)*Assumptions!$M$192</f>
        <v>0</v>
      </c>
      <c r="P363" s="151">
        <f>-SUM(P390:P391)*Assumptions!$M$192</f>
        <v>0</v>
      </c>
      <c r="Q363" s="151">
        <f>-SUM(Q390:Q391)*Assumptions!$M$192</f>
        <v>0</v>
      </c>
      <c r="R363" s="151">
        <f>-SUM(R390:R391)*Assumptions!$M$192</f>
        <v>0</v>
      </c>
      <c r="S363" s="151">
        <f>-SUM(S390:S391)*Assumptions!$M$192</f>
        <v>0</v>
      </c>
      <c r="T363" s="151">
        <f>-SUM(T390:T391)*Assumptions!$M$192</f>
        <v>0</v>
      </c>
      <c r="U363" s="151">
        <f>-SUM(U390:U391)*Assumptions!$M$192</f>
        <v>0</v>
      </c>
      <c r="V363" s="151">
        <f>-SUM(V390:V391)*Assumptions!$M$192</f>
        <v>0</v>
      </c>
      <c r="W363" s="151">
        <f>-SUM(W390:W391)*Assumptions!$M$192</f>
        <v>0</v>
      </c>
      <c r="X363" s="151">
        <f>-SUM(X390:X391)*Assumptions!$M$192</f>
        <v>0</v>
      </c>
      <c r="Y363" s="151">
        <f>-SUM(Y390:Y391)*Assumptions!$M$192</f>
        <v>0</v>
      </c>
      <c r="Z363" s="151">
        <f>-SUM(Z390:Z391)*Assumptions!$M$192</f>
        <v>0</v>
      </c>
    </row>
    <row r="364" spans="2:26" x14ac:dyDescent="0.35">
      <c r="B364" s="33" t="s">
        <v>415</v>
      </c>
      <c r="D364" s="48"/>
      <c r="E364" s="48"/>
      <c r="F364" s="151">
        <f ca="1">+IF(YEAR(F$140)&lt;=YEAR(Assumptions!$G$30),F321,0)</f>
        <v>0</v>
      </c>
      <c r="G364" s="151">
        <f ca="1">+IF(YEAR(G$140)&lt;=YEAR(Assumptions!$G$30),G321,0)</f>
        <v>0</v>
      </c>
      <c r="H364" s="151">
        <f ca="1">+IF(YEAR(H$140)&lt;=YEAR(Assumptions!$G$30),H321,0)</f>
        <v>0</v>
      </c>
      <c r="I364" s="151">
        <f ca="1">+IF(YEAR(I$140)&lt;=YEAR(Assumptions!$G$30),I321,0)</f>
        <v>6946822.2629323117</v>
      </c>
      <c r="J364" s="151">
        <f ca="1">+IF(YEAR(J$140)&lt;=YEAR(Assumptions!$G$30),J321,0)</f>
        <v>14485528.459140714</v>
      </c>
      <c r="K364" s="151">
        <f ca="1">+IF(YEAR(K$140)&lt;=YEAR(Assumptions!$G$30),K321,0)</f>
        <v>14919107.173988493</v>
      </c>
      <c r="L364" s="151">
        <f ca="1">+IF(YEAR(L$140)&lt;=YEAR(Assumptions!$G$30),L321,0)</f>
        <v>15824066.265007693</v>
      </c>
      <c r="M364" s="151">
        <f ca="1">+IF(YEAR(M$140)&lt;=YEAR(Assumptions!$G$30),M321,0)</f>
        <v>16063300.346618453</v>
      </c>
      <c r="N364" s="151">
        <f ca="1">+IF(YEAR(N$140)&lt;=YEAR(Assumptions!$G$30),N321,0)</f>
        <v>16382388.311893821</v>
      </c>
      <c r="O364" s="151">
        <f>+IF(YEAR(O$140)&lt;=YEAR(Assumptions!$G$30),O321,0)</f>
        <v>0</v>
      </c>
      <c r="P364" s="151">
        <f>+IF(YEAR(P$140)&lt;=YEAR(Assumptions!$G$30),P321,0)</f>
        <v>0</v>
      </c>
      <c r="Q364" s="151">
        <f>+IF(YEAR(Q$140)&lt;=YEAR(Assumptions!$G$30),Q321,0)</f>
        <v>0</v>
      </c>
      <c r="R364" s="151">
        <f>+IF(YEAR(R$140)&lt;=YEAR(Assumptions!$G$30),R321,0)</f>
        <v>0</v>
      </c>
      <c r="S364" s="151">
        <f>+IF(YEAR(S$140)&lt;=YEAR(Assumptions!$G$30),S321,0)</f>
        <v>0</v>
      </c>
      <c r="T364" s="151">
        <f>+IF(YEAR(T$140)&lt;=YEAR(Assumptions!$G$30),T321,0)</f>
        <v>0</v>
      </c>
      <c r="U364" s="151">
        <f>+IF(YEAR(U$140)&lt;=YEAR(Assumptions!$G$30),U321,0)</f>
        <v>0</v>
      </c>
      <c r="V364" s="151">
        <f>+IF(YEAR(V$140)&lt;=YEAR(Assumptions!$G$30),V321,0)</f>
        <v>0</v>
      </c>
      <c r="W364" s="151">
        <f>+IF(YEAR(W$140)&lt;=YEAR(Assumptions!$G$30),W321,0)</f>
        <v>0</v>
      </c>
      <c r="X364" s="151">
        <f>+IF(YEAR(X$140)&lt;=YEAR(Assumptions!$G$30),X321,0)</f>
        <v>0</v>
      </c>
      <c r="Y364" s="151">
        <f>+IF(YEAR(Y$140)&lt;=YEAR(Assumptions!$G$30),Y321,0)</f>
        <v>0</v>
      </c>
      <c r="Z364" s="151">
        <f>+IF(YEAR(Z$140)&lt;=YEAR(Assumptions!$G$30),Z321,0)</f>
        <v>0</v>
      </c>
    </row>
    <row r="365" spans="2:26" x14ac:dyDescent="0.35">
      <c r="B365" s="33" t="s">
        <v>409</v>
      </c>
      <c r="D365" s="48"/>
      <c r="E365" s="48"/>
      <c r="F365" s="151">
        <f>+IF(YEAR(F$140)&lt;=YEAR(Assumptions!$G$30),F326,0)</f>
        <v>0</v>
      </c>
      <c r="G365" s="151">
        <f>+IF(YEAR(G$140)&lt;=YEAR(Assumptions!$G$30),G326,0)</f>
        <v>0</v>
      </c>
      <c r="H365" s="151">
        <f>+IF(YEAR(H$140)&lt;=YEAR(Assumptions!$G$30),H326,0)</f>
        <v>0</v>
      </c>
      <c r="I365" s="151">
        <f>+IF(YEAR(I$140)&lt;=YEAR(Assumptions!$G$30),I326,0)</f>
        <v>0</v>
      </c>
      <c r="J365" s="151">
        <f>+IF(YEAR(J$140)&lt;=YEAR(Assumptions!$G$30),J326,0)</f>
        <v>0</v>
      </c>
      <c r="K365" s="151">
        <f>+IF(YEAR(K$140)&lt;=YEAR(Assumptions!$G$30),K326,0)</f>
        <v>0</v>
      </c>
      <c r="L365" s="151">
        <f>+IF(YEAR(L$140)&lt;=YEAR(Assumptions!$G$30),L326,0)</f>
        <v>0</v>
      </c>
      <c r="M365" s="151">
        <f>+IF(YEAR(M$140)&lt;=YEAR(Assumptions!$G$30),M326,0)</f>
        <v>0</v>
      </c>
      <c r="N365" s="151">
        <f ca="1">+IF(YEAR(N$140)&lt;=YEAR(Assumptions!$G$30),N326,0)</f>
        <v>257544358.77723861</v>
      </c>
      <c r="O365" s="151">
        <f>+IF(YEAR(O$140)&lt;=YEAR(Assumptions!$G$30),O326,0)</f>
        <v>0</v>
      </c>
      <c r="P365" s="151">
        <f>+IF(YEAR(P$140)&lt;=YEAR(Assumptions!$G$30),P326,0)</f>
        <v>0</v>
      </c>
      <c r="Q365" s="151">
        <f>+IF(YEAR(Q$140)&lt;=YEAR(Assumptions!$G$30),Q326,0)</f>
        <v>0</v>
      </c>
      <c r="R365" s="151">
        <f>+IF(YEAR(R$140)&lt;=YEAR(Assumptions!$G$30),R326,0)</f>
        <v>0</v>
      </c>
      <c r="S365" s="151">
        <f>+IF(YEAR(S$140)&lt;=YEAR(Assumptions!$G$30),S326,0)</f>
        <v>0</v>
      </c>
      <c r="T365" s="151">
        <f>+IF(YEAR(T$140)&lt;=YEAR(Assumptions!$G$30),T326,0)</f>
        <v>0</v>
      </c>
      <c r="U365" s="151">
        <f>+IF(YEAR(U$140)&lt;=YEAR(Assumptions!$G$30),U326,0)</f>
        <v>0</v>
      </c>
      <c r="V365" s="151">
        <f>+IF(YEAR(V$140)&lt;=YEAR(Assumptions!$G$30),V326,0)</f>
        <v>0</v>
      </c>
      <c r="W365" s="151">
        <f>+IF(YEAR(W$140)&lt;=YEAR(Assumptions!$G$30),W326,0)</f>
        <v>0</v>
      </c>
      <c r="X365" s="151">
        <f>+IF(YEAR(X$140)&lt;=YEAR(Assumptions!$G$30),X326,0)</f>
        <v>0</v>
      </c>
      <c r="Y365" s="151">
        <f>+IF(YEAR(Y$140)&lt;=YEAR(Assumptions!$G$30),Y326,0)</f>
        <v>0</v>
      </c>
      <c r="Z365" s="151">
        <f>+IF(YEAR(Z$140)&lt;=YEAR(Assumptions!$G$30),Z326,0)</f>
        <v>0</v>
      </c>
    </row>
    <row r="366" spans="2:26" x14ac:dyDescent="0.35">
      <c r="B366" s="33" t="s">
        <v>421</v>
      </c>
      <c r="D366" s="48"/>
      <c r="E366" s="48"/>
      <c r="F366" s="151">
        <f>-F394*Assumptions!$M$192</f>
        <v>0</v>
      </c>
      <c r="G366" s="151">
        <f>-G394*Assumptions!$M$192</f>
        <v>0</v>
      </c>
      <c r="H366" s="151">
        <f>-H394*Assumptions!$M$192</f>
        <v>0</v>
      </c>
      <c r="I366" s="151">
        <f>-I394*Assumptions!$M$192</f>
        <v>0</v>
      </c>
      <c r="J366" s="151">
        <f>-J394*Assumptions!$M$192</f>
        <v>0</v>
      </c>
      <c r="K366" s="151">
        <f>-K394*Assumptions!$M$192</f>
        <v>0</v>
      </c>
      <c r="L366" s="151">
        <f>-L394*Assumptions!$M$192</f>
        <v>0</v>
      </c>
      <c r="M366" s="151">
        <f>-M394*Assumptions!$M$192</f>
        <v>0</v>
      </c>
      <c r="N366" s="151">
        <f ca="1">-N394*Assumptions!$M$192</f>
        <v>-28670892.912862174</v>
      </c>
      <c r="O366" s="151">
        <f>-O394*Assumptions!$M$192</f>
        <v>0</v>
      </c>
      <c r="P366" s="151">
        <f>-P394*Assumptions!$M$192</f>
        <v>0</v>
      </c>
      <c r="Q366" s="151">
        <f>-Q394*Assumptions!$M$192</f>
        <v>0</v>
      </c>
      <c r="R366" s="151">
        <f>-R394*Assumptions!$M$192</f>
        <v>0</v>
      </c>
      <c r="S366" s="151">
        <f>-S394*Assumptions!$M$192</f>
        <v>0</v>
      </c>
      <c r="T366" s="151">
        <f>-T394*Assumptions!$M$192</f>
        <v>0</v>
      </c>
      <c r="U366" s="151">
        <f>-U394*Assumptions!$M$192</f>
        <v>0</v>
      </c>
      <c r="V366" s="151">
        <f>-V394*Assumptions!$M$192</f>
        <v>0</v>
      </c>
      <c r="W366" s="151">
        <f>-W394*Assumptions!$M$192</f>
        <v>0</v>
      </c>
      <c r="X366" s="151">
        <f>-X394*Assumptions!$M$192</f>
        <v>0</v>
      </c>
      <c r="Y366" s="151">
        <f>-Y394*Assumptions!$M$192</f>
        <v>0</v>
      </c>
      <c r="Z366" s="151">
        <f>-Z394*Assumptions!$M$192</f>
        <v>0</v>
      </c>
    </row>
    <row r="367" spans="2:26" x14ac:dyDescent="0.35">
      <c r="B367" s="138" t="s">
        <v>413</v>
      </c>
      <c r="C367" s="138"/>
      <c r="D367" s="139">
        <f t="shared" ref="D367" ca="1" si="194">+SUM(F367:Z367)</f>
        <v>149227604.46165493</v>
      </c>
      <c r="E367" s="139"/>
      <c r="F367" s="139">
        <f t="shared" ref="F367:Z367" ca="1" si="195">+SUM(F360:F366)</f>
        <v>-18868356.37705791</v>
      </c>
      <c r="G367" s="139">
        <f t="shared" ca="1" si="195"/>
        <v>-91800710.268615231</v>
      </c>
      <c r="H367" s="139">
        <f t="shared" ca="1" si="195"/>
        <v>-42600803.100950703</v>
      </c>
      <c r="I367" s="139">
        <f t="shared" ca="1" si="195"/>
        <v>5487989.5877165264</v>
      </c>
      <c r="J367" s="139">
        <f t="shared" ca="1" si="195"/>
        <v>12798217.526007786</v>
      </c>
      <c r="K367" s="139">
        <f t="shared" ca="1" si="195"/>
        <v>13140744.710737532</v>
      </c>
      <c r="L367" s="139">
        <f t="shared" ca="1" si="195"/>
        <v>13855662.392642699</v>
      </c>
      <c r="M367" s="139">
        <f t="shared" ca="1" si="195"/>
        <v>14044657.317115201</v>
      </c>
      <c r="N367" s="139">
        <f t="shared" ca="1" si="195"/>
        <v>243170202.67405915</v>
      </c>
      <c r="O367" s="139">
        <f t="shared" ca="1" si="195"/>
        <v>0</v>
      </c>
      <c r="P367" s="139">
        <f t="shared" ca="1" si="195"/>
        <v>0</v>
      </c>
      <c r="Q367" s="139">
        <f t="shared" ca="1" si="195"/>
        <v>0</v>
      </c>
      <c r="R367" s="139">
        <f t="shared" ca="1" si="195"/>
        <v>0</v>
      </c>
      <c r="S367" s="139">
        <f t="shared" ca="1" si="195"/>
        <v>0</v>
      </c>
      <c r="T367" s="139">
        <f t="shared" ca="1" si="195"/>
        <v>0</v>
      </c>
      <c r="U367" s="139">
        <f t="shared" ca="1" si="195"/>
        <v>0</v>
      </c>
      <c r="V367" s="139">
        <f t="shared" ca="1" si="195"/>
        <v>0</v>
      </c>
      <c r="W367" s="139">
        <f t="shared" ca="1" si="195"/>
        <v>0</v>
      </c>
      <c r="X367" s="139">
        <f t="shared" ca="1" si="195"/>
        <v>0</v>
      </c>
      <c r="Y367" s="139">
        <f t="shared" ca="1" si="195"/>
        <v>0</v>
      </c>
      <c r="Z367" s="139">
        <f t="shared" ca="1" si="195"/>
        <v>0</v>
      </c>
    </row>
    <row r="368" spans="2:26" x14ac:dyDescent="0.35">
      <c r="B368" s="119"/>
    </row>
    <row r="369" spans="2:26" x14ac:dyDescent="0.35">
      <c r="B369" s="226" t="s">
        <v>426</v>
      </c>
      <c r="C369" s="226"/>
      <c r="D369" s="227">
        <f ca="1">+IRR(F367:Z367)</f>
        <v>0.11493959660031439</v>
      </c>
    </row>
    <row r="370" spans="2:26" x14ac:dyDescent="0.35">
      <c r="B370" s="119"/>
    </row>
    <row r="371" spans="2:26" x14ac:dyDescent="0.35">
      <c r="B371" s="148" t="s">
        <v>412</v>
      </c>
      <c r="F371" s="148">
        <f>+F359</f>
        <v>0</v>
      </c>
      <c r="G371" s="148">
        <f t="shared" ref="G371:Z372" si="196">+G359</f>
        <v>1</v>
      </c>
      <c r="H371" s="148">
        <f t="shared" si="196"/>
        <v>2</v>
      </c>
      <c r="I371" s="148">
        <f t="shared" si="196"/>
        <v>3</v>
      </c>
      <c r="J371" s="148">
        <f t="shared" si="196"/>
        <v>4</v>
      </c>
      <c r="K371" s="148">
        <f t="shared" si="196"/>
        <v>5</v>
      </c>
      <c r="L371" s="148">
        <f t="shared" si="196"/>
        <v>6</v>
      </c>
      <c r="M371" s="148">
        <f t="shared" si="196"/>
        <v>7</v>
      </c>
      <c r="N371" s="148">
        <f t="shared" si="196"/>
        <v>8</v>
      </c>
      <c r="O371" s="148">
        <f t="shared" si="196"/>
        <v>9</v>
      </c>
      <c r="P371" s="148">
        <f t="shared" si="196"/>
        <v>10</v>
      </c>
      <c r="Q371" s="148">
        <f t="shared" si="196"/>
        <v>11</v>
      </c>
      <c r="R371" s="148">
        <f t="shared" si="196"/>
        <v>12</v>
      </c>
      <c r="S371" s="148">
        <f t="shared" si="196"/>
        <v>13</v>
      </c>
      <c r="T371" s="148">
        <f t="shared" si="196"/>
        <v>14</v>
      </c>
      <c r="U371" s="148">
        <f t="shared" si="196"/>
        <v>15</v>
      </c>
      <c r="V371" s="148">
        <f t="shared" si="196"/>
        <v>16</v>
      </c>
      <c r="W371" s="148">
        <f t="shared" si="196"/>
        <v>17</v>
      </c>
      <c r="X371" s="148">
        <f t="shared" si="196"/>
        <v>18</v>
      </c>
      <c r="Y371" s="148">
        <f t="shared" si="196"/>
        <v>19</v>
      </c>
      <c r="Z371" s="148">
        <f t="shared" si="196"/>
        <v>20</v>
      </c>
    </row>
    <row r="372" spans="2:26" x14ac:dyDescent="0.35">
      <c r="B372" s="33" t="s">
        <v>404</v>
      </c>
      <c r="D372" s="48"/>
      <c r="E372" s="48"/>
      <c r="F372" s="34">
        <f ca="1">+F360</f>
        <v>-18868356.37705791</v>
      </c>
      <c r="G372" s="34">
        <f t="shared" ca="1" si="196"/>
        <v>-91800710.268615231</v>
      </c>
      <c r="H372" s="34">
        <f t="shared" ca="1" si="196"/>
        <v>-42600803.100950703</v>
      </c>
      <c r="I372" s="34">
        <f t="shared" ca="1" si="196"/>
        <v>0</v>
      </c>
      <c r="J372" s="34">
        <f t="shared" ca="1" si="196"/>
        <v>0</v>
      </c>
      <c r="K372" s="34">
        <f t="shared" ca="1" si="196"/>
        <v>0</v>
      </c>
      <c r="L372" s="34">
        <f t="shared" ca="1" si="196"/>
        <v>0</v>
      </c>
      <c r="M372" s="34">
        <f t="shared" ca="1" si="196"/>
        <v>0</v>
      </c>
      <c r="N372" s="34">
        <f t="shared" ca="1" si="196"/>
        <v>0</v>
      </c>
      <c r="O372" s="34">
        <f t="shared" ca="1" si="196"/>
        <v>0</v>
      </c>
      <c r="P372" s="34">
        <f t="shared" ca="1" si="196"/>
        <v>0</v>
      </c>
      <c r="Q372" s="34">
        <f t="shared" ca="1" si="196"/>
        <v>0</v>
      </c>
      <c r="R372" s="34">
        <f t="shared" ca="1" si="196"/>
        <v>0</v>
      </c>
      <c r="S372" s="34">
        <f t="shared" ca="1" si="196"/>
        <v>0</v>
      </c>
      <c r="T372" s="34">
        <f t="shared" ca="1" si="196"/>
        <v>0</v>
      </c>
      <c r="U372" s="34">
        <f t="shared" ca="1" si="196"/>
        <v>0</v>
      </c>
      <c r="V372" s="34">
        <f t="shared" ca="1" si="196"/>
        <v>0</v>
      </c>
      <c r="W372" s="34">
        <f t="shared" ca="1" si="196"/>
        <v>0</v>
      </c>
      <c r="X372" s="34">
        <f t="shared" ca="1" si="196"/>
        <v>0</v>
      </c>
      <c r="Y372" s="34">
        <f t="shared" ca="1" si="196"/>
        <v>0</v>
      </c>
      <c r="Z372" s="34">
        <f t="shared" ca="1" si="196"/>
        <v>0</v>
      </c>
    </row>
    <row r="373" spans="2:26" x14ac:dyDescent="0.35">
      <c r="B373" s="33" t="s">
        <v>422</v>
      </c>
      <c r="D373" s="48"/>
      <c r="E373" s="48"/>
      <c r="F373" s="151">
        <f ca="1">-F372*Assumptions!$M$192</f>
        <v>3962354.8391821608</v>
      </c>
      <c r="G373" s="151">
        <f ca="1">-G372*Assumptions!$M$192</f>
        <v>19278149.156409197</v>
      </c>
      <c r="H373" s="151">
        <f ca="1">-H372*Assumptions!$M$192</f>
        <v>8946168.6511996482</v>
      </c>
      <c r="I373" s="151">
        <f ca="1">-I372*Assumptions!$M$192</f>
        <v>0</v>
      </c>
      <c r="J373" s="151">
        <f ca="1">-J372*Assumptions!$M$192</f>
        <v>0</v>
      </c>
      <c r="K373" s="151">
        <f ca="1">-K372*Assumptions!$M$192</f>
        <v>0</v>
      </c>
      <c r="L373" s="151">
        <f ca="1">-L372*Assumptions!$M$192</f>
        <v>0</v>
      </c>
      <c r="M373" s="151">
        <f ca="1">-M372*Assumptions!$M$192</f>
        <v>0</v>
      </c>
      <c r="N373" s="151">
        <f ca="1">-N372*Assumptions!$M$192</f>
        <v>0</v>
      </c>
      <c r="O373" s="151">
        <f ca="1">-O372*Assumptions!$M$192</f>
        <v>0</v>
      </c>
      <c r="P373" s="151">
        <f ca="1">-P372*Assumptions!$M$192</f>
        <v>0</v>
      </c>
      <c r="Q373" s="151">
        <f ca="1">-Q372*Assumptions!$M$192</f>
        <v>0</v>
      </c>
      <c r="R373" s="151">
        <f ca="1">-R372*Assumptions!$M$192</f>
        <v>0</v>
      </c>
      <c r="S373" s="151">
        <f ca="1">-S372*Assumptions!$M$192</f>
        <v>0</v>
      </c>
      <c r="T373" s="151">
        <f ca="1">-T372*Assumptions!$M$192</f>
        <v>0</v>
      </c>
      <c r="U373" s="151">
        <f ca="1">-U372*Assumptions!$M$192</f>
        <v>0</v>
      </c>
      <c r="V373" s="151">
        <f ca="1">-V372*Assumptions!$M$192</f>
        <v>0</v>
      </c>
      <c r="W373" s="151">
        <f ca="1">-W372*Assumptions!$M$192</f>
        <v>0</v>
      </c>
      <c r="X373" s="151">
        <f ca="1">-X372*Assumptions!$M$192</f>
        <v>0</v>
      </c>
      <c r="Y373" s="151">
        <f ca="1">-Y372*Assumptions!$M$192</f>
        <v>0</v>
      </c>
      <c r="Z373" s="151">
        <f ca="1">-Z372*Assumptions!$M$192</f>
        <v>0</v>
      </c>
    </row>
    <row r="374" spans="2:26" x14ac:dyDescent="0.35">
      <c r="B374" s="33" t="s">
        <v>423</v>
      </c>
      <c r="D374" s="48"/>
      <c r="E374" s="48"/>
      <c r="F374" s="151">
        <f ca="1">IFERROR(-IF(YEAR(F357)&lt;MIN(YEAR(Assumptions!$G$30),2026),(OFFSET(F373,0,-10)),IF(YEAR(F357)=MIN(YEAR(Assumptions!$G$30),2026),SUM($E$373:F$373)-SUM($E$374:E$374),0)),0)</f>
        <v>0</v>
      </c>
      <c r="G374" s="151">
        <f ca="1">IFERROR(-IF(YEAR(G357)&lt;MIN(YEAR(Assumptions!$G$30),2026),(OFFSET(G373,0,-10)),IF(YEAR(G357)=MIN(YEAR(Assumptions!$G$30),2026),SUM($E$373:G$373)-SUM($E$374:F$374),0)),0)</f>
        <v>0</v>
      </c>
      <c r="H374" s="151">
        <f ca="1">IFERROR(-IF(YEAR(H357)&lt;MIN(YEAR(Assumptions!$G$30),2026),(OFFSET(H373,0,-10)),IF(YEAR(H357)=MIN(YEAR(Assumptions!$G$30),2026),SUM($E$373:H$373)-SUM($E$374:G$374),0)),0)</f>
        <v>0</v>
      </c>
      <c r="I374" s="151">
        <f ca="1">IFERROR(-IF(YEAR(I357)&lt;MIN(YEAR(Assumptions!$G$30),2026),(OFFSET(I373,0,-10)),IF(YEAR(I357)=MIN(YEAR(Assumptions!$G$30),2026),SUM($E$373:I$373)-SUM($E$374:H$374),0)),0)</f>
        <v>0</v>
      </c>
      <c r="J374" s="151">
        <f ca="1">IFERROR(-IF(YEAR(J357)&lt;MIN(YEAR(Assumptions!$G$30),2026),(OFFSET(J373,0,-10)),IF(YEAR(J357)=MIN(YEAR(Assumptions!$G$30),2026),SUM($E$373:J$373)-SUM($E$374:I$374),0)),0)</f>
        <v>-32186672.646791004</v>
      </c>
      <c r="K374" s="151">
        <f ca="1">IFERROR(-IF(YEAR(K357)&lt;MIN(YEAR(Assumptions!$G$30),2026),(OFFSET(K373,0,-10)),IF(YEAR(K357)=MIN(YEAR(Assumptions!$G$30),2026),SUM($E$373:K$373)-SUM($E$374:J$374),0)),0)</f>
        <v>0</v>
      </c>
      <c r="L374" s="151">
        <f ca="1">IFERROR(-IF(YEAR(L357)&lt;MIN(YEAR(Assumptions!$G$30),2026),(OFFSET(L373,0,-10)),IF(YEAR(L357)=MIN(YEAR(Assumptions!$G$30),2026),SUM($E$373:L$373)-SUM($E$374:K$374),0)),0)</f>
        <v>0</v>
      </c>
      <c r="M374" s="151">
        <f ca="1">IFERROR(-IF(YEAR(M357)&lt;MIN(YEAR(Assumptions!$G$30),2026),(OFFSET(M373,0,-10)),IF(YEAR(M357)=MIN(YEAR(Assumptions!$G$30),2026),SUM($E$373:M$373)-SUM($E$374:L$374),0)),0)</f>
        <v>0</v>
      </c>
      <c r="N374" s="151">
        <f ca="1">IFERROR(-IF(YEAR(N357)&lt;MIN(YEAR(Assumptions!$G$30),2026),(OFFSET(N373,0,-10)),IF(YEAR(N357)=MIN(YEAR(Assumptions!$G$30),2026),SUM($E$373:N$373)-SUM($E$374:M$374),0)),0)</f>
        <v>0</v>
      </c>
      <c r="O374" s="151">
        <f ca="1">IFERROR(-IF(YEAR(O357)&lt;MIN(YEAR(Assumptions!$G$30),2026),(OFFSET(O373,0,-10)),IF(YEAR(O357)=MIN(YEAR(Assumptions!$G$30),2026),SUM($E$373:O$373)-SUM($E$374:N$374),0)),0)</f>
        <v>0</v>
      </c>
      <c r="P374" s="151">
        <f ca="1">IFERROR(-IF(YEAR(P357)&lt;MIN(YEAR(Assumptions!$G$30),2026),(OFFSET(P373,0,-10)),IF(YEAR(P357)=MIN(YEAR(Assumptions!$G$30),2026),SUM($E$373:P$373)-SUM($E$374:O$374),0)),0)</f>
        <v>0</v>
      </c>
      <c r="Q374" s="151">
        <f ca="1">IFERROR(-IF(YEAR(Q357)&lt;MIN(YEAR(Assumptions!$G$30),2026),(OFFSET(Q373,0,-10)),IF(YEAR(Q357)=MIN(YEAR(Assumptions!$G$30),2026),SUM($E$373:Q$373)-SUM($E$374:P$374),0)),0)</f>
        <v>0</v>
      </c>
      <c r="R374" s="151">
        <f ca="1">IFERROR(-IF(YEAR(R357)&lt;MIN(YEAR(Assumptions!$G$30),2026),(OFFSET(R373,0,-10)),IF(YEAR(R357)=MIN(YEAR(Assumptions!$G$30),2026),SUM($E$373:R$373)-SUM($E$374:Q$374),0)),0)</f>
        <v>0</v>
      </c>
      <c r="S374" s="151">
        <f ca="1">IFERROR(-IF(YEAR(S357)&lt;MIN(YEAR(Assumptions!$G$30),2026),(OFFSET(S373,0,-10)),IF(YEAR(S357)=MIN(YEAR(Assumptions!$G$30),2026),SUM($E$373:S$373)-SUM($E$374:R$374),0)),0)</f>
        <v>0</v>
      </c>
      <c r="T374" s="151">
        <f ca="1">IFERROR(-IF(YEAR(T357)&lt;MIN(YEAR(Assumptions!$G$30),2026),(OFFSET(T373,0,-10)),IF(YEAR(T357)=MIN(YEAR(Assumptions!$G$30),2026),SUM($E$373:T$373)-SUM($E$374:S$374),0)),0)</f>
        <v>0</v>
      </c>
      <c r="U374" s="151">
        <f ca="1">IFERROR(-IF(YEAR(U357)&lt;MIN(YEAR(Assumptions!$G$30),2026),(OFFSET(U373,0,-10)),IF(YEAR(U357)=MIN(YEAR(Assumptions!$G$30),2026),SUM($E$373:U$373)-SUM($E$374:T$374),0)),0)</f>
        <v>0</v>
      </c>
      <c r="V374" s="151">
        <f ca="1">IFERROR(-IF(YEAR(V357)&lt;MIN(YEAR(Assumptions!$G$30),2026),(OFFSET(V373,0,-10)),IF(YEAR(V357)=MIN(YEAR(Assumptions!$G$30),2026),SUM($E$373:V$373)-SUM($E$374:U$374),0)),0)</f>
        <v>0</v>
      </c>
      <c r="W374" s="151">
        <f ca="1">IFERROR(-IF(YEAR(W357)&lt;MIN(YEAR(Assumptions!$G$30),2026),(OFFSET(W373,0,-10)),IF(YEAR(W357)=MIN(YEAR(Assumptions!$G$30),2026),SUM($E$373:W$373)-SUM($E$374:V$374),0)),0)</f>
        <v>0</v>
      </c>
      <c r="X374" s="151">
        <f ca="1">IFERROR(-IF(YEAR(X357)&lt;MIN(YEAR(Assumptions!$G$30),2026),(OFFSET(X373,0,-10)),IF(YEAR(X357)=MIN(YEAR(Assumptions!$G$30),2026),SUM($E$373:X$373)-SUM($E$374:W$374),0)),0)</f>
        <v>0</v>
      </c>
      <c r="Y374" s="151">
        <f ca="1">IFERROR(-IF(YEAR(Y357)&lt;MIN(YEAR(Assumptions!$G$30),2026),(OFFSET(Y373,0,-10)),IF(YEAR(Y357)=MIN(YEAR(Assumptions!$G$30),2026),SUM($E$373:Y$373)-SUM($E$374:X$374),0)),0)</f>
        <v>0</v>
      </c>
      <c r="Z374" s="151">
        <f ca="1">IFERROR(-IF(YEAR(Z357)&lt;MIN(YEAR(Assumptions!$G$30),2026),(OFFSET(Z373,0,-10)),IF(YEAR(Z357)=MIN(YEAR(Assumptions!$G$30),2026),SUM($E$373:Z$373)-SUM($E$374:Y$374),0)),0)</f>
        <v>0</v>
      </c>
    </row>
    <row r="375" spans="2:26" x14ac:dyDescent="0.35">
      <c r="B375" s="33" t="s">
        <v>424</v>
      </c>
      <c r="D375" s="48"/>
      <c r="E375" s="48"/>
      <c r="F375" s="151">
        <f>+IF(YEAR(F357)=MIN(YEAR(Assumptions!$G$30),2026),SUM($F$385:$Z$385),0)</f>
        <v>0</v>
      </c>
      <c r="G375" s="151">
        <f>+IF(YEAR(G357)=MIN(YEAR(Assumptions!$G$30),2026),SUM($F$385:$Z$385),0)</f>
        <v>0</v>
      </c>
      <c r="H375" s="151">
        <f>+IF(YEAR(H357)=MIN(YEAR(Assumptions!$G$30),2026),SUM($F$385:$Z$385),0)</f>
        <v>0</v>
      </c>
      <c r="I375" s="151">
        <f>+IF(YEAR(I357)=MIN(YEAR(Assumptions!$G$30),2026),SUM($F$385:$Z$385),0)</f>
        <v>0</v>
      </c>
      <c r="J375" s="151">
        <f ca="1">+IF(YEAR(J357)=MIN(YEAR(Assumptions!$G$30),2026),SUM($F$385:$Z$385),0)</f>
        <v>4380692.4644586686</v>
      </c>
      <c r="K375" s="151">
        <f>+IF(YEAR(K357)=MIN(YEAR(Assumptions!$G$30),2026),SUM($F$385:$Z$385),0)</f>
        <v>0</v>
      </c>
      <c r="L375" s="151">
        <f>+IF(YEAR(L357)=MIN(YEAR(Assumptions!$G$30),2026),SUM($F$385:$Z$385),0)</f>
        <v>0</v>
      </c>
      <c r="M375" s="151">
        <f>+IF(YEAR(M357)=MIN(YEAR(Assumptions!$G$30),2026),SUM($F$385:$Z$385),0)</f>
        <v>0</v>
      </c>
      <c r="N375" s="151">
        <f>+IF(YEAR(N357)=MIN(YEAR(Assumptions!$G$30),2026),SUM($F$385:$Z$385),0)</f>
        <v>0</v>
      </c>
      <c r="O375" s="151">
        <f>+IF(YEAR(O357)=MIN(YEAR(Assumptions!$G$30),2026),SUM($F$385:$Z$385),0)</f>
        <v>0</v>
      </c>
      <c r="P375" s="151">
        <f>+IF(YEAR(P357)=MIN(YEAR(Assumptions!$G$30),2026),SUM($F$385:$Z$385),0)</f>
        <v>0</v>
      </c>
      <c r="Q375" s="151">
        <f>+IF(YEAR(Q357)=MIN(YEAR(Assumptions!$G$30),2026),SUM($F$385:$Z$385),0)</f>
        <v>0</v>
      </c>
      <c r="R375" s="151">
        <f>+IF(YEAR(R357)=MIN(YEAR(Assumptions!$G$30),2026),SUM($F$385:$Z$385),0)</f>
        <v>0</v>
      </c>
      <c r="S375" s="151">
        <f>+IF(YEAR(S357)=MIN(YEAR(Assumptions!$G$30),2026),SUM($F$385:$Z$385),0)</f>
        <v>0</v>
      </c>
      <c r="T375" s="151">
        <f>+IF(YEAR(T357)=MIN(YEAR(Assumptions!$G$30),2026),SUM($F$385:$Z$385),0)</f>
        <v>0</v>
      </c>
      <c r="U375" s="151">
        <f>+IF(YEAR(U357)=MIN(YEAR(Assumptions!$G$30),2026),SUM($F$385:$Z$385),0)</f>
        <v>0</v>
      </c>
      <c r="V375" s="151">
        <f>+IF(YEAR(V357)=MIN(YEAR(Assumptions!$G$30),2026),SUM($F$385:$Z$385),0)</f>
        <v>0</v>
      </c>
      <c r="W375" s="151">
        <f>+IF(YEAR(W357)=MIN(YEAR(Assumptions!$G$30),2026),SUM($F$385:$Z$385),0)</f>
        <v>0</v>
      </c>
      <c r="X375" s="151">
        <f>+IF(YEAR(X357)=MIN(YEAR(Assumptions!$G$30),2026),SUM($F$385:$Z$385),0)</f>
        <v>0</v>
      </c>
      <c r="Y375" s="151">
        <f>+IF(YEAR(Y357)=MIN(YEAR(Assumptions!$G$30),2026),SUM($F$385:$Z$385),0)</f>
        <v>0</v>
      </c>
      <c r="Z375" s="151">
        <f>+IF(YEAR(Z357)=MIN(YEAR(Assumptions!$G$30),2026),SUM($F$385:$Z$385),0)</f>
        <v>0</v>
      </c>
    </row>
    <row r="376" spans="2:26" x14ac:dyDescent="0.35">
      <c r="B376" s="33" t="s">
        <v>414</v>
      </c>
      <c r="D376" s="48"/>
      <c r="E376" s="48"/>
      <c r="F376" s="151">
        <f ca="1">+F363</f>
        <v>0</v>
      </c>
      <c r="G376" s="151">
        <f t="shared" ref="G376:Z378" ca="1" si="197">+G363</f>
        <v>0</v>
      </c>
      <c r="H376" s="151">
        <f t="shared" ca="1" si="197"/>
        <v>0</v>
      </c>
      <c r="I376" s="151">
        <f t="shared" ca="1" si="197"/>
        <v>-1458832.6752157854</v>
      </c>
      <c r="J376" s="151">
        <f t="shared" ca="1" si="197"/>
        <v>-1687310.9331329274</v>
      </c>
      <c r="K376" s="151">
        <f t="shared" ca="1" si="197"/>
        <v>-1778362.4632509614</v>
      </c>
      <c r="L376" s="151">
        <f t="shared" ca="1" si="197"/>
        <v>-1968403.8723649932</v>
      </c>
      <c r="M376" s="151">
        <f t="shared" ca="1" si="197"/>
        <v>-2018643.0295032524</v>
      </c>
      <c r="N376" s="151">
        <f t="shared" ca="1" si="197"/>
        <v>-2085651.5022110799</v>
      </c>
      <c r="O376" s="151">
        <f t="shared" si="197"/>
        <v>0</v>
      </c>
      <c r="P376" s="151">
        <f t="shared" si="197"/>
        <v>0</v>
      </c>
      <c r="Q376" s="151">
        <f t="shared" si="197"/>
        <v>0</v>
      </c>
      <c r="R376" s="151">
        <f t="shared" si="197"/>
        <v>0</v>
      </c>
      <c r="S376" s="151">
        <f t="shared" si="197"/>
        <v>0</v>
      </c>
      <c r="T376" s="151">
        <f t="shared" si="197"/>
        <v>0</v>
      </c>
      <c r="U376" s="151">
        <f t="shared" si="197"/>
        <v>0</v>
      </c>
      <c r="V376" s="151">
        <f t="shared" si="197"/>
        <v>0</v>
      </c>
      <c r="W376" s="151">
        <f t="shared" si="197"/>
        <v>0</v>
      </c>
      <c r="X376" s="151">
        <f t="shared" si="197"/>
        <v>0</v>
      </c>
      <c r="Y376" s="151">
        <f t="shared" si="197"/>
        <v>0</v>
      </c>
      <c r="Z376" s="151">
        <f t="shared" si="197"/>
        <v>0</v>
      </c>
    </row>
    <row r="377" spans="2:26" x14ac:dyDescent="0.35">
      <c r="B377" s="33" t="s">
        <v>415</v>
      </c>
      <c r="D377" s="48"/>
      <c r="E377" s="48"/>
      <c r="F377" s="151">
        <f ca="1">+F364</f>
        <v>0</v>
      </c>
      <c r="G377" s="151">
        <f t="shared" ca="1" si="197"/>
        <v>0</v>
      </c>
      <c r="H377" s="151">
        <f t="shared" ca="1" si="197"/>
        <v>0</v>
      </c>
      <c r="I377" s="151">
        <f t="shared" ca="1" si="197"/>
        <v>6946822.2629323117</v>
      </c>
      <c r="J377" s="151">
        <f t="shared" ca="1" si="197"/>
        <v>14485528.459140714</v>
      </c>
      <c r="K377" s="151">
        <f t="shared" ca="1" si="197"/>
        <v>14919107.173988493</v>
      </c>
      <c r="L377" s="151">
        <f t="shared" ca="1" si="197"/>
        <v>15824066.265007693</v>
      </c>
      <c r="M377" s="151">
        <f t="shared" ca="1" si="197"/>
        <v>16063300.346618453</v>
      </c>
      <c r="N377" s="151">
        <f t="shared" ca="1" si="197"/>
        <v>16382388.311893821</v>
      </c>
      <c r="O377" s="151">
        <f t="shared" si="197"/>
        <v>0</v>
      </c>
      <c r="P377" s="151">
        <f t="shared" si="197"/>
        <v>0</v>
      </c>
      <c r="Q377" s="151">
        <f t="shared" si="197"/>
        <v>0</v>
      </c>
      <c r="R377" s="151">
        <f t="shared" si="197"/>
        <v>0</v>
      </c>
      <c r="S377" s="151">
        <f t="shared" si="197"/>
        <v>0</v>
      </c>
      <c r="T377" s="151">
        <f t="shared" si="197"/>
        <v>0</v>
      </c>
      <c r="U377" s="151">
        <f t="shared" si="197"/>
        <v>0</v>
      </c>
      <c r="V377" s="151">
        <f t="shared" si="197"/>
        <v>0</v>
      </c>
      <c r="W377" s="151">
        <f t="shared" si="197"/>
        <v>0</v>
      </c>
      <c r="X377" s="151">
        <f t="shared" si="197"/>
        <v>0</v>
      </c>
      <c r="Y377" s="151">
        <f t="shared" si="197"/>
        <v>0</v>
      </c>
      <c r="Z377" s="151">
        <f t="shared" si="197"/>
        <v>0</v>
      </c>
    </row>
    <row r="378" spans="2:26" x14ac:dyDescent="0.35">
      <c r="B378" s="33" t="s">
        <v>409</v>
      </c>
      <c r="D378" s="48"/>
      <c r="E378" s="48"/>
      <c r="F378" s="151">
        <f>+F365</f>
        <v>0</v>
      </c>
      <c r="G378" s="151">
        <f t="shared" si="197"/>
        <v>0</v>
      </c>
      <c r="H378" s="151">
        <f t="shared" si="197"/>
        <v>0</v>
      </c>
      <c r="I378" s="151">
        <f t="shared" si="197"/>
        <v>0</v>
      </c>
      <c r="J378" s="151">
        <f t="shared" si="197"/>
        <v>0</v>
      </c>
      <c r="K378" s="151">
        <f t="shared" si="197"/>
        <v>0</v>
      </c>
      <c r="L378" s="151">
        <f t="shared" si="197"/>
        <v>0</v>
      </c>
      <c r="M378" s="151">
        <f t="shared" si="197"/>
        <v>0</v>
      </c>
      <c r="N378" s="151">
        <f t="shared" ca="1" si="197"/>
        <v>257544358.77723861</v>
      </c>
      <c r="O378" s="151">
        <f t="shared" si="197"/>
        <v>0</v>
      </c>
      <c r="P378" s="151">
        <f t="shared" si="197"/>
        <v>0</v>
      </c>
      <c r="Q378" s="151">
        <f t="shared" si="197"/>
        <v>0</v>
      </c>
      <c r="R378" s="151">
        <f t="shared" si="197"/>
        <v>0</v>
      </c>
      <c r="S378" s="151">
        <f t="shared" si="197"/>
        <v>0</v>
      </c>
      <c r="T378" s="151">
        <f t="shared" si="197"/>
        <v>0</v>
      </c>
      <c r="U378" s="151">
        <f t="shared" si="197"/>
        <v>0</v>
      </c>
      <c r="V378" s="151">
        <f t="shared" si="197"/>
        <v>0</v>
      </c>
      <c r="W378" s="151">
        <f t="shared" si="197"/>
        <v>0</v>
      </c>
      <c r="X378" s="151">
        <f t="shared" si="197"/>
        <v>0</v>
      </c>
      <c r="Y378" s="151">
        <f t="shared" si="197"/>
        <v>0</v>
      </c>
      <c r="Z378" s="151">
        <f t="shared" si="197"/>
        <v>0</v>
      </c>
    </row>
    <row r="379" spans="2:26" x14ac:dyDescent="0.35">
      <c r="B379" s="33" t="s">
        <v>421</v>
      </c>
      <c r="D379" s="48"/>
      <c r="E379" s="48"/>
      <c r="F379" s="151">
        <f>+IF(F359&gt;=10,0,F366)</f>
        <v>0</v>
      </c>
      <c r="G379" s="151">
        <f t="shared" ref="G379:Z379" si="198">+IF(G359&gt;=10,0,G366)</f>
        <v>0</v>
      </c>
      <c r="H379" s="151">
        <f t="shared" si="198"/>
        <v>0</v>
      </c>
      <c r="I379" s="151">
        <f t="shared" si="198"/>
        <v>0</v>
      </c>
      <c r="J379" s="151">
        <f t="shared" si="198"/>
        <v>0</v>
      </c>
      <c r="K379" s="151">
        <f t="shared" si="198"/>
        <v>0</v>
      </c>
      <c r="L379" s="151">
        <f t="shared" si="198"/>
        <v>0</v>
      </c>
      <c r="M379" s="151">
        <f t="shared" si="198"/>
        <v>0</v>
      </c>
      <c r="N379" s="151">
        <f t="shared" ca="1" si="198"/>
        <v>-28670892.912862174</v>
      </c>
      <c r="O379" s="151">
        <f t="shared" si="198"/>
        <v>0</v>
      </c>
      <c r="P379" s="151">
        <f t="shared" si="198"/>
        <v>0</v>
      </c>
      <c r="Q379" s="151">
        <f t="shared" si="198"/>
        <v>0</v>
      </c>
      <c r="R379" s="151">
        <f t="shared" si="198"/>
        <v>0</v>
      </c>
      <c r="S379" s="151">
        <f t="shared" si="198"/>
        <v>0</v>
      </c>
      <c r="T379" s="151">
        <f t="shared" si="198"/>
        <v>0</v>
      </c>
      <c r="U379" s="151">
        <f t="shared" si="198"/>
        <v>0</v>
      </c>
      <c r="V379" s="151">
        <f t="shared" si="198"/>
        <v>0</v>
      </c>
      <c r="W379" s="151">
        <f t="shared" si="198"/>
        <v>0</v>
      </c>
      <c r="X379" s="151">
        <f t="shared" si="198"/>
        <v>0</v>
      </c>
      <c r="Y379" s="151">
        <f t="shared" si="198"/>
        <v>0</v>
      </c>
      <c r="Z379" s="151">
        <f t="shared" si="198"/>
        <v>0</v>
      </c>
    </row>
    <row r="380" spans="2:26" x14ac:dyDescent="0.35">
      <c r="B380" s="138" t="s">
        <v>412</v>
      </c>
      <c r="C380" s="138"/>
      <c r="D380" s="139">
        <f t="shared" ref="D380" ca="1" si="199">+SUM(F380:Z380)</f>
        <v>153608296.92611361</v>
      </c>
      <c r="E380" s="139"/>
      <c r="F380" s="139">
        <f t="shared" ref="F380:Z380" ca="1" si="200">+SUM(F372:F379)</f>
        <v>-14906001.537875749</v>
      </c>
      <c r="G380" s="139">
        <f t="shared" ca="1" si="200"/>
        <v>-72522561.112206042</v>
      </c>
      <c r="H380" s="139">
        <f t="shared" ca="1" si="200"/>
        <v>-33654634.449751057</v>
      </c>
      <c r="I380" s="139">
        <f t="shared" ca="1" si="200"/>
        <v>5487989.5877165264</v>
      </c>
      <c r="J380" s="139">
        <f t="shared" ca="1" si="200"/>
        <v>-15007762.656324551</v>
      </c>
      <c r="K380" s="139">
        <f t="shared" ca="1" si="200"/>
        <v>13140744.710737532</v>
      </c>
      <c r="L380" s="139">
        <f t="shared" ca="1" si="200"/>
        <v>13855662.392642699</v>
      </c>
      <c r="M380" s="139">
        <f t="shared" ca="1" si="200"/>
        <v>14044657.317115201</v>
      </c>
      <c r="N380" s="139">
        <f t="shared" ca="1" si="200"/>
        <v>243170202.67405915</v>
      </c>
      <c r="O380" s="139">
        <f t="shared" ca="1" si="200"/>
        <v>0</v>
      </c>
      <c r="P380" s="139">
        <f t="shared" ca="1" si="200"/>
        <v>0</v>
      </c>
      <c r="Q380" s="139">
        <f t="shared" ca="1" si="200"/>
        <v>0</v>
      </c>
      <c r="R380" s="139">
        <f t="shared" ca="1" si="200"/>
        <v>0</v>
      </c>
      <c r="S380" s="139">
        <f t="shared" ca="1" si="200"/>
        <v>0</v>
      </c>
      <c r="T380" s="139">
        <f t="shared" ca="1" si="200"/>
        <v>0</v>
      </c>
      <c r="U380" s="139">
        <f t="shared" ca="1" si="200"/>
        <v>0</v>
      </c>
      <c r="V380" s="139">
        <f t="shared" ca="1" si="200"/>
        <v>0</v>
      </c>
      <c r="W380" s="139">
        <f t="shared" ca="1" si="200"/>
        <v>0</v>
      </c>
      <c r="X380" s="139">
        <f t="shared" ca="1" si="200"/>
        <v>0</v>
      </c>
      <c r="Y380" s="139">
        <f t="shared" ca="1" si="200"/>
        <v>0</v>
      </c>
      <c r="Z380" s="139">
        <f t="shared" ca="1" si="200"/>
        <v>0</v>
      </c>
    </row>
    <row r="382" spans="2:26" x14ac:dyDescent="0.35">
      <c r="B382" s="190" t="s">
        <v>427</v>
      </c>
      <c r="C382" s="190"/>
      <c r="D382" s="191">
        <f ca="1">+IRR(F380:Z380)</f>
        <v>0.13061752420731243</v>
      </c>
    </row>
    <row r="383" spans="2:26" x14ac:dyDescent="0.35">
      <c r="B383" s="194" t="s">
        <v>428</v>
      </c>
      <c r="C383" s="193"/>
      <c r="D383" s="228">
        <f ca="1">+D382/(1-Assumptions!$M$192)</f>
        <v>0.16533863823710435</v>
      </c>
    </row>
    <row r="385" spans="2:26" x14ac:dyDescent="0.35">
      <c r="B385" s="41" t="s">
        <v>425</v>
      </c>
      <c r="F385" s="151">
        <f ca="1">IFERROR(IF(YEAR(F357)&lt;=YEAR(Assumptions!$G$30),10%*(OFFSET(F373,0,-5))+5%*(OFFSET(F373,0,-7)),0),0)</f>
        <v>0</v>
      </c>
      <c r="G385" s="151">
        <f ca="1">IFERROR(IF(YEAR(G357)&lt;=YEAR(Assumptions!$G$30),10%*(OFFSET(G373,0,-5))+5%*(OFFSET(G373,0,-7)),0),0)</f>
        <v>0</v>
      </c>
      <c r="H385" s="151">
        <f ca="1">IFERROR(IF(YEAR(H357)&lt;=YEAR(Assumptions!$G$30),10%*(OFFSET(H373,0,-5))+5%*(OFFSET(H373,0,-7)),0),0)</f>
        <v>0</v>
      </c>
      <c r="I385" s="151">
        <f ca="1">IFERROR(IF(YEAR(I357)&lt;=YEAR(Assumptions!$G$30),10%*(OFFSET(I373,0,-5))+5%*(OFFSET(I373,0,-7)),0),0)</f>
        <v>0</v>
      </c>
      <c r="J385" s="151">
        <f ca="1">IFERROR(IF(YEAR(J357)&lt;=YEAR(Assumptions!$G$30),10%*(OFFSET(J373,0,-5))+5%*(OFFSET(J373,0,-7)),0),0)</f>
        <v>0</v>
      </c>
      <c r="K385" s="151">
        <f ca="1">IFERROR(IF(YEAR(K357)&lt;=YEAR(Assumptions!$G$30),10%*(OFFSET(K373,0,-5))+5%*(OFFSET(K373,0,-7)),0),0)</f>
        <v>396235.48391821608</v>
      </c>
      <c r="L385" s="151">
        <f ca="1">IFERROR(IF(YEAR(L357)&lt;=YEAR(Assumptions!$G$30),10%*(OFFSET(L373,0,-5))+5%*(OFFSET(L373,0,-7)),0),0)</f>
        <v>1927814.9156409197</v>
      </c>
      <c r="M385" s="151">
        <f ca="1">IFERROR(IF(YEAR(M357)&lt;=YEAR(Assumptions!$G$30),10%*(OFFSET(M373,0,-5))+5%*(OFFSET(M373,0,-7)),0),0)</f>
        <v>1092734.6070790729</v>
      </c>
      <c r="N385" s="151">
        <f ca="1">IFERROR(IF(YEAR(N357)&lt;=YEAR(Assumptions!$G$30),10%*(OFFSET(N373,0,-5))+5%*(OFFSET(N373,0,-7)),0),0)</f>
        <v>963907.45782045985</v>
      </c>
      <c r="O385" s="151">
        <f ca="1">IFERROR(IF(YEAR(O357)&lt;=YEAR(Assumptions!$G$30),10%*(OFFSET(O373,0,-5))+5%*(OFFSET(O373,0,-7)),0),0)</f>
        <v>0</v>
      </c>
      <c r="P385" s="151">
        <f ca="1">IFERROR(IF(YEAR(P357)&lt;=YEAR(Assumptions!$G$30),10%*(OFFSET(P373,0,-5))+5%*(OFFSET(P373,0,-7)),0),0)</f>
        <v>0</v>
      </c>
      <c r="Q385" s="151">
        <f ca="1">IFERROR(IF(YEAR(Q357)&lt;=YEAR(Assumptions!$G$30),10%*(OFFSET(Q373,0,-5))+5%*(OFFSET(Q373,0,-7)),0),0)</f>
        <v>0</v>
      </c>
      <c r="R385" s="151">
        <f ca="1">IFERROR(IF(YEAR(R357)&lt;=YEAR(Assumptions!$G$30),10%*(OFFSET(R373,0,-5))+5%*(OFFSET(R373,0,-7)),0),0)</f>
        <v>0</v>
      </c>
      <c r="S385" s="151">
        <f ca="1">IFERROR(IF(YEAR(S357)&lt;=YEAR(Assumptions!$G$30),10%*(OFFSET(S373,0,-5))+5%*(OFFSET(S373,0,-7)),0),0)</f>
        <v>0</v>
      </c>
      <c r="T385" s="151">
        <f ca="1">IFERROR(IF(YEAR(T357)&lt;=YEAR(Assumptions!$G$30),10%*(OFFSET(T373,0,-5))+5%*(OFFSET(T373,0,-7)),0),0)</f>
        <v>0</v>
      </c>
      <c r="U385" s="151">
        <f ca="1">IFERROR(IF(YEAR(U357)&lt;=YEAR(Assumptions!$G$30),10%*(OFFSET(U373,0,-5))+5%*(OFFSET(U373,0,-7)),0),0)</f>
        <v>0</v>
      </c>
      <c r="V385" s="151">
        <f ca="1">IFERROR(IF(YEAR(V357)&lt;=YEAR(Assumptions!$G$30),10%*(OFFSET(V373,0,-5))+5%*(OFFSET(V373,0,-7)),0),0)</f>
        <v>0</v>
      </c>
      <c r="W385" s="151">
        <f ca="1">IFERROR(IF(YEAR(W357)&lt;=YEAR(Assumptions!$G$30),10%*(OFFSET(W373,0,-5))+5%*(OFFSET(W373,0,-7)),0),0)</f>
        <v>0</v>
      </c>
      <c r="X385" s="151">
        <f ca="1">IFERROR(IF(YEAR(X357)&lt;=YEAR(Assumptions!$G$30),10%*(OFFSET(X373,0,-5))+5%*(OFFSET(X373,0,-7)),0),0)</f>
        <v>0</v>
      </c>
      <c r="Y385" s="151">
        <f ca="1">IFERROR(IF(YEAR(Y357)&lt;=YEAR(Assumptions!$G$30),10%*(OFFSET(Y373,0,-5))+5%*(OFFSET(Y373,0,-7)),0),0)</f>
        <v>0</v>
      </c>
      <c r="Z385" s="151">
        <f ca="1">IFERROR(IF(YEAR(Z357)&lt;=YEAR(Assumptions!$G$30),10%*(OFFSET(Z373,0,-5))+5%*(OFFSET(Z373,0,-7)),0),0)</f>
        <v>0</v>
      </c>
    </row>
    <row r="387" spans="2:26" x14ac:dyDescent="0.35">
      <c r="B387" s="148" t="s">
        <v>405</v>
      </c>
    </row>
    <row r="388" spans="2:26" x14ac:dyDescent="0.35">
      <c r="B388" s="33" t="s">
        <v>406</v>
      </c>
      <c r="D388" s="48">
        <f ca="1">+SUM(F388:Z388)</f>
        <v>984649496.58406377</v>
      </c>
      <c r="E388" s="48"/>
      <c r="F388" s="34">
        <v>0</v>
      </c>
      <c r="G388" s="34">
        <f ca="1">+F395</f>
        <v>18868356.37705791</v>
      </c>
      <c r="H388" s="34">
        <f t="shared" ref="H388:Z388" ca="1" si="201">+G395</f>
        <v>110669066.64567314</v>
      </c>
      <c r="I388" s="34">
        <f t="shared" ca="1" si="201"/>
        <v>153269869.74662387</v>
      </c>
      <c r="J388" s="34">
        <f t="shared" ca="1" si="201"/>
        <v>153269869.74662384</v>
      </c>
      <c r="K388" s="34">
        <f t="shared" ca="1" si="201"/>
        <v>146819155.25478283</v>
      </c>
      <c r="L388" s="34">
        <f t="shared" ca="1" si="201"/>
        <v>140368440.76294175</v>
      </c>
      <c r="M388" s="34">
        <f t="shared" ca="1" si="201"/>
        <v>133917726.27110074</v>
      </c>
      <c r="N388" s="34">
        <f t="shared" ca="1" si="201"/>
        <v>127467011.77925968</v>
      </c>
      <c r="O388" s="34">
        <f t="shared" ca="1" si="201"/>
        <v>0</v>
      </c>
      <c r="P388" s="34">
        <f t="shared" ca="1" si="201"/>
        <v>0</v>
      </c>
      <c r="Q388" s="34">
        <f t="shared" ca="1" si="201"/>
        <v>0</v>
      </c>
      <c r="R388" s="34">
        <f t="shared" ca="1" si="201"/>
        <v>0</v>
      </c>
      <c r="S388" s="34">
        <f t="shared" ca="1" si="201"/>
        <v>0</v>
      </c>
      <c r="T388" s="34">
        <f t="shared" ca="1" si="201"/>
        <v>0</v>
      </c>
      <c r="U388" s="34">
        <f t="shared" ca="1" si="201"/>
        <v>0</v>
      </c>
      <c r="V388" s="34">
        <f t="shared" ca="1" si="201"/>
        <v>0</v>
      </c>
      <c r="W388" s="34">
        <f t="shared" ca="1" si="201"/>
        <v>0</v>
      </c>
      <c r="X388" s="34">
        <f t="shared" ca="1" si="201"/>
        <v>0</v>
      </c>
      <c r="Y388" s="34">
        <f t="shared" ca="1" si="201"/>
        <v>0</v>
      </c>
      <c r="Z388" s="34">
        <f t="shared" ca="1" si="201"/>
        <v>0</v>
      </c>
    </row>
    <row r="389" spans="2:26" x14ac:dyDescent="0.35">
      <c r="B389" s="33" t="s">
        <v>404</v>
      </c>
      <c r="D389" s="48">
        <f t="shared" ref="D389:D394" ca="1" si="202">+SUM(F389:Z389)</f>
        <v>153269869.74662387</v>
      </c>
      <c r="E389" s="48"/>
      <c r="F389" s="151">
        <f ca="1">-F360</f>
        <v>18868356.37705791</v>
      </c>
      <c r="G389" s="151">
        <f t="shared" ref="G389:Z389" ca="1" si="203">-G360</f>
        <v>91800710.268615231</v>
      </c>
      <c r="H389" s="151">
        <f t="shared" ca="1" si="203"/>
        <v>42600803.100950703</v>
      </c>
      <c r="I389" s="151">
        <f t="shared" ca="1" si="203"/>
        <v>0</v>
      </c>
      <c r="J389" s="151">
        <f t="shared" ca="1" si="203"/>
        <v>0</v>
      </c>
      <c r="K389" s="151">
        <f t="shared" ca="1" si="203"/>
        <v>0</v>
      </c>
      <c r="L389" s="151">
        <f t="shared" ca="1" si="203"/>
        <v>0</v>
      </c>
      <c r="M389" s="151">
        <f t="shared" ca="1" si="203"/>
        <v>0</v>
      </c>
      <c r="N389" s="151">
        <f t="shared" ca="1" si="203"/>
        <v>0</v>
      </c>
      <c r="O389" s="151">
        <f t="shared" ca="1" si="203"/>
        <v>0</v>
      </c>
      <c r="P389" s="151">
        <f t="shared" ca="1" si="203"/>
        <v>0</v>
      </c>
      <c r="Q389" s="151">
        <f t="shared" ca="1" si="203"/>
        <v>0</v>
      </c>
      <c r="R389" s="151">
        <f t="shared" ca="1" si="203"/>
        <v>0</v>
      </c>
      <c r="S389" s="151">
        <f t="shared" ca="1" si="203"/>
        <v>0</v>
      </c>
      <c r="T389" s="151">
        <f t="shared" ca="1" si="203"/>
        <v>0</v>
      </c>
      <c r="U389" s="151">
        <f t="shared" ca="1" si="203"/>
        <v>0</v>
      </c>
      <c r="V389" s="151">
        <f t="shared" ca="1" si="203"/>
        <v>0</v>
      </c>
      <c r="W389" s="151">
        <f t="shared" ca="1" si="203"/>
        <v>0</v>
      </c>
      <c r="X389" s="151">
        <f t="shared" ca="1" si="203"/>
        <v>0</v>
      </c>
      <c r="Y389" s="151">
        <f t="shared" ca="1" si="203"/>
        <v>0</v>
      </c>
      <c r="Z389" s="151">
        <f t="shared" ca="1" si="203"/>
        <v>0</v>
      </c>
    </row>
    <row r="390" spans="2:26" x14ac:dyDescent="0.35">
      <c r="B390" s="33" t="s">
        <v>251</v>
      </c>
      <c r="D390" s="48">
        <f t="shared" ca="1" si="202"/>
        <v>84621212.819581479</v>
      </c>
      <c r="E390" s="48"/>
      <c r="F390" s="151">
        <f ca="1">IF(F357&lt;=Assumptions!$G$30,F321,0)</f>
        <v>0</v>
      </c>
      <c r="G390" s="151">
        <f ca="1">IF(G357&lt;=Assumptions!$G$30,G321,0)</f>
        <v>0</v>
      </c>
      <c r="H390" s="151">
        <f ca="1">IF(H357&lt;=Assumptions!$G$30,H321,0)</f>
        <v>0</v>
      </c>
      <c r="I390" s="151">
        <f ca="1">IF(I357&lt;=Assumptions!$G$30,I321,0)</f>
        <v>6946822.2629323117</v>
      </c>
      <c r="J390" s="151">
        <f ca="1">IF(J357&lt;=Assumptions!$G$30,J321,0)</f>
        <v>14485528.459140714</v>
      </c>
      <c r="K390" s="151">
        <f ca="1">IF(K357&lt;=Assumptions!$G$30,K321,0)</f>
        <v>14919107.173988493</v>
      </c>
      <c r="L390" s="151">
        <f ca="1">IF(L357&lt;=Assumptions!$G$30,L321,0)</f>
        <v>15824066.265007693</v>
      </c>
      <c r="M390" s="151">
        <f ca="1">IF(M357&lt;=Assumptions!$G$30,M321,0)</f>
        <v>16063300.346618453</v>
      </c>
      <c r="N390" s="151">
        <f ca="1">IF(N357&lt;=Assumptions!$G$30,N321,0)</f>
        <v>16382388.311893821</v>
      </c>
      <c r="O390" s="151">
        <f>IF(O357&lt;=Assumptions!$G$30,O321,0)</f>
        <v>0</v>
      </c>
      <c r="P390" s="151">
        <f>IF(P357&lt;=Assumptions!$G$30,P321,0)</f>
        <v>0</v>
      </c>
      <c r="Q390" s="151">
        <f>IF(Q357&lt;=Assumptions!$G$30,Q321,0)</f>
        <v>0</v>
      </c>
      <c r="R390" s="151">
        <f>IF(R357&lt;=Assumptions!$G$30,R321,0)</f>
        <v>0</v>
      </c>
      <c r="S390" s="151">
        <f>IF(S357&lt;=Assumptions!$G$30,S321,0)</f>
        <v>0</v>
      </c>
      <c r="T390" s="151">
        <f>IF(T357&lt;=Assumptions!$G$30,T321,0)</f>
        <v>0</v>
      </c>
      <c r="U390" s="151">
        <f>IF(U357&lt;=Assumptions!$G$30,U321,0)</f>
        <v>0</v>
      </c>
      <c r="V390" s="151">
        <f>IF(V357&lt;=Assumptions!$G$30,V321,0)</f>
        <v>0</v>
      </c>
      <c r="W390" s="151">
        <f>IF(W357&lt;=Assumptions!$G$30,W321,0)</f>
        <v>0</v>
      </c>
      <c r="X390" s="151">
        <f>IF(X357&lt;=Assumptions!$G$30,X321,0)</f>
        <v>0</v>
      </c>
      <c r="Y390" s="151">
        <f>IF(Y357&lt;=Assumptions!$G$30,Y321,0)</f>
        <v>0</v>
      </c>
      <c r="Z390" s="151">
        <f>IF(Z357&lt;=Assumptions!$G$30,Z321,0)</f>
        <v>0</v>
      </c>
    </row>
    <row r="391" spans="2:26" x14ac:dyDescent="0.35">
      <c r="B391" s="33" t="s">
        <v>416</v>
      </c>
      <c r="D391" s="48">
        <f t="shared" ca="1" si="202"/>
        <v>-32253572.459205281</v>
      </c>
      <c r="E391" s="48"/>
      <c r="F391" s="151">
        <f>-IF(AND(F357&gt;Assumptions!$G$26,F357&lt;=Assumptions!$G$30),Budget!$I$82*Assumptions!$M$194/Assumptions!$M$193,0)</f>
        <v>0</v>
      </c>
      <c r="G391" s="151">
        <f>-IF(AND(G357&gt;Assumptions!$G$26,G357&lt;=Assumptions!$G$30),Budget!$I$82*Assumptions!$M$194/Assumptions!$M$193,0)</f>
        <v>0</v>
      </c>
      <c r="H391" s="151">
        <f>-IF(AND(H357&gt;Assumptions!$G$26,H357&lt;=Assumptions!$G$30),Budget!$I$82*Assumptions!$M$194/Assumptions!$M$193,0)</f>
        <v>0</v>
      </c>
      <c r="I391" s="151">
        <f>-IF(AND(I357&gt;Assumptions!$G$26,I357&lt;=Assumptions!$G$30),Budget!$I$82*Assumptions!$M$194/Assumptions!$M$193,0)</f>
        <v>0</v>
      </c>
      <c r="J391" s="151">
        <f ca="1">-IF(AND(J357&gt;Assumptions!$G$26,J357&lt;=Assumptions!$G$30),Budget!$I$82*Assumptions!$M$194/Assumptions!$M$193,0)</f>
        <v>-6450714.4918410564</v>
      </c>
      <c r="K391" s="151">
        <f ca="1">-IF(AND(K357&gt;Assumptions!$G$26,K357&lt;=Assumptions!$G$30),Budget!$I$82*Assumptions!$M$194/Assumptions!$M$193,0)</f>
        <v>-6450714.4918410564</v>
      </c>
      <c r="L391" s="151">
        <f ca="1">-IF(AND(L357&gt;Assumptions!$G$26,L357&lt;=Assumptions!$G$30),Budget!$I$82*Assumptions!$M$194/Assumptions!$M$193,0)</f>
        <v>-6450714.4918410564</v>
      </c>
      <c r="M391" s="151">
        <f ca="1">-IF(AND(M357&gt;Assumptions!$G$26,M357&lt;=Assumptions!$G$30),Budget!$I$82*Assumptions!$M$194/Assumptions!$M$193,0)</f>
        <v>-6450714.4918410564</v>
      </c>
      <c r="N391" s="151">
        <f ca="1">-IF(AND(N357&gt;Assumptions!$G$26,N357&lt;=Assumptions!$G$30),Budget!$I$82*Assumptions!$M$194/Assumptions!$M$193,0)</f>
        <v>-6450714.4918410564</v>
      </c>
      <c r="O391" s="151">
        <f>-IF(AND(O357&gt;Assumptions!$G$26,O357&lt;=Assumptions!$G$30),Budget!$I$82*Assumptions!$M$194/Assumptions!$M$193,0)</f>
        <v>0</v>
      </c>
      <c r="P391" s="151">
        <f>-IF(AND(P357&gt;Assumptions!$G$26,P357&lt;=Assumptions!$G$30),Budget!$I$82*Assumptions!$M$194/Assumptions!$M$193,0)</f>
        <v>0</v>
      </c>
      <c r="Q391" s="151">
        <f>-IF(AND(Q357&gt;Assumptions!$G$26,Q357&lt;=Assumptions!$G$30),Budget!$I$82*Assumptions!$M$194/Assumptions!$M$193,0)</f>
        <v>0</v>
      </c>
      <c r="R391" s="151">
        <f>-IF(AND(R357&gt;Assumptions!$G$26,R357&lt;=Assumptions!$G$30),Budget!$I$82*Assumptions!$M$194/Assumptions!$M$193,0)</f>
        <v>0</v>
      </c>
      <c r="S391" s="151">
        <f>-IF(AND(S357&gt;Assumptions!$G$26,S357&lt;=Assumptions!$G$30),Budget!$I$82*Assumptions!$M$194/Assumptions!$M$193,0)</f>
        <v>0</v>
      </c>
      <c r="T391" s="151">
        <f>-IF(AND(T357&gt;Assumptions!$G$26,T357&lt;=Assumptions!$G$30),Budget!$I$82*Assumptions!$M$194/Assumptions!$M$193,0)</f>
        <v>0</v>
      </c>
      <c r="U391" s="151">
        <f>-IF(AND(U357&gt;Assumptions!$G$26,U357&lt;=Assumptions!$G$30),Budget!$I$82*Assumptions!$M$194/Assumptions!$M$193,0)</f>
        <v>0</v>
      </c>
      <c r="V391" s="151">
        <f>-IF(AND(V357&gt;Assumptions!$G$26,V357&lt;=Assumptions!$G$30),Budget!$I$82*Assumptions!$M$194/Assumptions!$M$193,0)</f>
        <v>0</v>
      </c>
      <c r="W391" s="151">
        <f>-IF(AND(W357&gt;Assumptions!$G$26,W357&lt;=Assumptions!$G$30),Budget!$I$82*Assumptions!$M$194/Assumptions!$M$193,0)</f>
        <v>0</v>
      </c>
      <c r="X391" s="151">
        <f>-IF(AND(X357&gt;Assumptions!$G$26,X357&lt;=Assumptions!$G$30),Budget!$I$82*Assumptions!$M$194/Assumptions!$M$193,0)</f>
        <v>0</v>
      </c>
      <c r="Y391" s="151">
        <f>-IF(AND(Y357&gt;Assumptions!$G$26,Y357&lt;=Assumptions!$G$30),Budget!$I$82*Assumptions!$M$194/Assumptions!$M$193,0)</f>
        <v>0</v>
      </c>
      <c r="Z391" s="151">
        <f>-IF(AND(Z357&gt;Assumptions!$G$26,Z357&lt;=Assumptions!$G$30),Budget!$I$82*Assumptions!$M$194/Assumptions!$M$193,0)</f>
        <v>0</v>
      </c>
    </row>
    <row r="392" spans="2:26" x14ac:dyDescent="0.35">
      <c r="B392" s="33" t="s">
        <v>407</v>
      </c>
      <c r="D392" s="48">
        <f t="shared" ca="1" si="202"/>
        <v>-84621212.819581479</v>
      </c>
      <c r="E392" s="48"/>
      <c r="F392" s="151">
        <f ca="1">-F364</f>
        <v>0</v>
      </c>
      <c r="G392" s="151">
        <f t="shared" ref="G392:Z393" ca="1" si="204">-G364</f>
        <v>0</v>
      </c>
      <c r="H392" s="151">
        <f t="shared" ca="1" si="204"/>
        <v>0</v>
      </c>
      <c r="I392" s="151">
        <f t="shared" ca="1" si="204"/>
        <v>-6946822.2629323117</v>
      </c>
      <c r="J392" s="151">
        <f t="shared" ca="1" si="204"/>
        <v>-14485528.459140714</v>
      </c>
      <c r="K392" s="151">
        <f t="shared" ca="1" si="204"/>
        <v>-14919107.173988493</v>
      </c>
      <c r="L392" s="151">
        <f t="shared" ca="1" si="204"/>
        <v>-15824066.265007693</v>
      </c>
      <c r="M392" s="151">
        <f t="shared" ca="1" si="204"/>
        <v>-16063300.346618453</v>
      </c>
      <c r="N392" s="151">
        <f t="shared" ca="1" si="204"/>
        <v>-16382388.311893821</v>
      </c>
      <c r="O392" s="151">
        <f t="shared" si="204"/>
        <v>0</v>
      </c>
      <c r="P392" s="151">
        <f t="shared" si="204"/>
        <v>0</v>
      </c>
      <c r="Q392" s="151">
        <f t="shared" si="204"/>
        <v>0</v>
      </c>
      <c r="R392" s="151">
        <f t="shared" si="204"/>
        <v>0</v>
      </c>
      <c r="S392" s="151">
        <f t="shared" si="204"/>
        <v>0</v>
      </c>
      <c r="T392" s="151">
        <f t="shared" si="204"/>
        <v>0</v>
      </c>
      <c r="U392" s="151">
        <f t="shared" si="204"/>
        <v>0</v>
      </c>
      <c r="V392" s="151">
        <f t="shared" si="204"/>
        <v>0</v>
      </c>
      <c r="W392" s="151">
        <f t="shared" si="204"/>
        <v>0</v>
      </c>
      <c r="X392" s="151">
        <f t="shared" si="204"/>
        <v>0</v>
      </c>
      <c r="Y392" s="151">
        <f t="shared" si="204"/>
        <v>0</v>
      </c>
      <c r="Z392" s="151">
        <f t="shared" si="204"/>
        <v>0</v>
      </c>
    </row>
    <row r="393" spans="2:26" x14ac:dyDescent="0.35">
      <c r="B393" s="33" t="s">
        <v>409</v>
      </c>
      <c r="D393" s="48">
        <f t="shared" ca="1" si="202"/>
        <v>-257544358.77723852</v>
      </c>
      <c r="E393" s="48"/>
      <c r="F393" s="151">
        <f>-F365</f>
        <v>0</v>
      </c>
      <c r="G393" s="151">
        <f t="shared" si="204"/>
        <v>0</v>
      </c>
      <c r="H393" s="151">
        <f t="shared" si="204"/>
        <v>0</v>
      </c>
      <c r="I393" s="151">
        <f t="shared" si="204"/>
        <v>0</v>
      </c>
      <c r="J393" s="151">
        <f t="shared" si="204"/>
        <v>0</v>
      </c>
      <c r="K393" s="151">
        <f t="shared" si="204"/>
        <v>0</v>
      </c>
      <c r="L393" s="151">
        <f t="shared" si="204"/>
        <v>0</v>
      </c>
      <c r="M393" s="151">
        <f t="shared" si="204"/>
        <v>0</v>
      </c>
      <c r="N393" s="151">
        <f t="shared" ca="1" si="204"/>
        <v>-257544358.77723861</v>
      </c>
      <c r="O393" s="151">
        <f t="shared" si="204"/>
        <v>0</v>
      </c>
      <c r="P393" s="151">
        <f t="shared" si="204"/>
        <v>0</v>
      </c>
      <c r="Q393" s="151">
        <f t="shared" si="204"/>
        <v>0</v>
      </c>
      <c r="R393" s="151">
        <f t="shared" si="204"/>
        <v>0</v>
      </c>
      <c r="S393" s="151">
        <f t="shared" si="204"/>
        <v>0</v>
      </c>
      <c r="T393" s="151">
        <f t="shared" si="204"/>
        <v>0</v>
      </c>
      <c r="U393" s="151">
        <f t="shared" si="204"/>
        <v>0</v>
      </c>
      <c r="V393" s="151">
        <f t="shared" si="204"/>
        <v>0</v>
      </c>
      <c r="W393" s="151">
        <f t="shared" si="204"/>
        <v>0</v>
      </c>
      <c r="X393" s="151">
        <f t="shared" si="204"/>
        <v>0</v>
      </c>
      <c r="Y393" s="151">
        <f t="shared" si="204"/>
        <v>0</v>
      </c>
      <c r="Z393" s="151">
        <f t="shared" si="204"/>
        <v>0</v>
      </c>
    </row>
    <row r="394" spans="2:26" x14ac:dyDescent="0.35">
      <c r="B394" s="33" t="s">
        <v>420</v>
      </c>
      <c r="D394" s="48">
        <f t="shared" ca="1" si="202"/>
        <v>136528061.48981988</v>
      </c>
      <c r="E394" s="48"/>
      <c r="F394" s="151">
        <f>-IF(YEAR(F357)=YEAR(Assumptions!$G$30),SUM(F388:F393),0)</f>
        <v>0</v>
      </c>
      <c r="G394" s="151">
        <f>-IF(YEAR(G357)=YEAR(Assumptions!$G$30),SUM(G388:G393),0)</f>
        <v>0</v>
      </c>
      <c r="H394" s="151">
        <f>-IF(YEAR(H357)=YEAR(Assumptions!$G$30),SUM(H388:H393),0)</f>
        <v>0</v>
      </c>
      <c r="I394" s="151">
        <f>-IF(YEAR(I357)=YEAR(Assumptions!$G$30),SUM(I388:I393),0)</f>
        <v>0</v>
      </c>
      <c r="J394" s="151">
        <f>-IF(YEAR(J357)=YEAR(Assumptions!$G$30),SUM(J388:J393),0)</f>
        <v>0</v>
      </c>
      <c r="K394" s="151">
        <f>-IF(YEAR(K357)=YEAR(Assumptions!$G$30),SUM(K388:K393),0)</f>
        <v>0</v>
      </c>
      <c r="L394" s="151">
        <f>-IF(YEAR(L357)=YEAR(Assumptions!$G$30),SUM(L388:L393),0)</f>
        <v>0</v>
      </c>
      <c r="M394" s="151">
        <f>-IF(YEAR(M357)=YEAR(Assumptions!$G$30),SUM(M388:M393),0)</f>
        <v>0</v>
      </c>
      <c r="N394" s="151">
        <f ca="1">-IF(YEAR(N357)=YEAR(Assumptions!$G$30),SUM(N388:N393),0)</f>
        <v>136528061.48981997</v>
      </c>
      <c r="O394" s="151">
        <f>-IF(YEAR(O357)=YEAR(Assumptions!$G$30),SUM(O388:O393),0)</f>
        <v>0</v>
      </c>
      <c r="P394" s="151">
        <f>-IF(YEAR(P357)=YEAR(Assumptions!$G$30),SUM(P388:P393),0)</f>
        <v>0</v>
      </c>
      <c r="Q394" s="151">
        <f>-IF(YEAR(Q357)=YEAR(Assumptions!$G$30),SUM(Q388:Q393),0)</f>
        <v>0</v>
      </c>
      <c r="R394" s="151">
        <f>-IF(YEAR(R357)=YEAR(Assumptions!$G$30),SUM(R388:R393),0)</f>
        <v>0</v>
      </c>
      <c r="S394" s="151">
        <f>-IF(YEAR(S357)=YEAR(Assumptions!$G$30),SUM(S388:S393),0)</f>
        <v>0</v>
      </c>
      <c r="T394" s="151">
        <f>-IF(YEAR(T357)=YEAR(Assumptions!$G$30),SUM(T388:T393),0)</f>
        <v>0</v>
      </c>
      <c r="U394" s="151">
        <f>-IF(YEAR(U357)=YEAR(Assumptions!$G$30),SUM(U388:U393),0)</f>
        <v>0</v>
      </c>
      <c r="V394" s="151">
        <f>-IF(YEAR(V357)=YEAR(Assumptions!$G$30),SUM(V388:V393),0)</f>
        <v>0</v>
      </c>
      <c r="W394" s="151">
        <f>-IF(YEAR(W357)=YEAR(Assumptions!$G$30),SUM(W388:W393),0)</f>
        <v>0</v>
      </c>
      <c r="X394" s="151">
        <f>-IF(YEAR(X357)=YEAR(Assumptions!$G$30),SUM(X388:X393),0)</f>
        <v>0</v>
      </c>
      <c r="Y394" s="151">
        <f>-IF(YEAR(Y357)=YEAR(Assumptions!$G$30),SUM(Y388:Y393),0)</f>
        <v>0</v>
      </c>
      <c r="Z394" s="151">
        <f>-IF(YEAR(Z357)=YEAR(Assumptions!$G$30),SUM(Z388:Z393),0)</f>
        <v>0</v>
      </c>
    </row>
    <row r="395" spans="2:26" x14ac:dyDescent="0.35">
      <c r="B395" s="137" t="s">
        <v>408</v>
      </c>
      <c r="C395" s="137"/>
      <c r="D395" s="36">
        <f t="shared" ref="D395" ca="1" si="205">+SUM(F395:Z395)</f>
        <v>984649496.58406377</v>
      </c>
      <c r="E395" s="129"/>
      <c r="F395" s="129">
        <f ca="1">+SUM(F388:F394)</f>
        <v>18868356.37705791</v>
      </c>
      <c r="G395" s="129">
        <f t="shared" ref="G395:Z395" ca="1" si="206">+SUM(G388:G394)</f>
        <v>110669066.64567314</v>
      </c>
      <c r="H395" s="129">
        <f t="shared" ca="1" si="206"/>
        <v>153269869.74662384</v>
      </c>
      <c r="I395" s="129">
        <f t="shared" ca="1" si="206"/>
        <v>153269869.74662387</v>
      </c>
      <c r="J395" s="129">
        <f t="shared" ca="1" si="206"/>
        <v>146819155.2547828</v>
      </c>
      <c r="K395" s="129">
        <f t="shared" ca="1" si="206"/>
        <v>140368440.76294178</v>
      </c>
      <c r="L395" s="129">
        <f t="shared" ca="1" si="206"/>
        <v>133917726.27110071</v>
      </c>
      <c r="M395" s="129">
        <f t="shared" ca="1" si="206"/>
        <v>127467011.7792597</v>
      </c>
      <c r="N395" s="129">
        <f t="shared" ca="1" si="206"/>
        <v>0</v>
      </c>
      <c r="O395" s="129">
        <f t="shared" ca="1" si="206"/>
        <v>0</v>
      </c>
      <c r="P395" s="129">
        <f t="shared" ca="1" si="206"/>
        <v>0</v>
      </c>
      <c r="Q395" s="129">
        <f t="shared" ca="1" si="206"/>
        <v>0</v>
      </c>
      <c r="R395" s="129">
        <f t="shared" ca="1" si="206"/>
        <v>0</v>
      </c>
      <c r="S395" s="129">
        <f t="shared" ca="1" si="206"/>
        <v>0</v>
      </c>
      <c r="T395" s="129">
        <f t="shared" ca="1" si="206"/>
        <v>0</v>
      </c>
      <c r="U395" s="129">
        <f t="shared" ca="1" si="206"/>
        <v>0</v>
      </c>
      <c r="V395" s="129">
        <f t="shared" ca="1" si="206"/>
        <v>0</v>
      </c>
      <c r="W395" s="129">
        <f t="shared" ca="1" si="206"/>
        <v>0</v>
      </c>
      <c r="X395" s="129">
        <f t="shared" ca="1" si="206"/>
        <v>0</v>
      </c>
      <c r="Y395" s="129">
        <f t="shared" ca="1" si="206"/>
        <v>0</v>
      </c>
      <c r="Z395" s="129">
        <f t="shared" ca="1" si="206"/>
        <v>0</v>
      </c>
    </row>
    <row r="397" spans="2:26" x14ac:dyDescent="0.35">
      <c r="B397" s="37" t="s">
        <v>643</v>
      </c>
      <c r="C397" s="38"/>
      <c r="D397" s="38"/>
      <c r="E397" s="38"/>
      <c r="F397" s="136">
        <f>+F357</f>
        <v>44926</v>
      </c>
      <c r="G397" s="136">
        <f t="shared" ref="G397:Z397" si="207">+G357</f>
        <v>45291</v>
      </c>
      <c r="H397" s="136">
        <f t="shared" si="207"/>
        <v>45657</v>
      </c>
      <c r="I397" s="136">
        <f t="shared" si="207"/>
        <v>46022</v>
      </c>
      <c r="J397" s="136">
        <f t="shared" si="207"/>
        <v>46387</v>
      </c>
      <c r="K397" s="136">
        <f t="shared" si="207"/>
        <v>46752</v>
      </c>
      <c r="L397" s="136">
        <f t="shared" si="207"/>
        <v>47118</v>
      </c>
      <c r="M397" s="136">
        <f t="shared" si="207"/>
        <v>47483</v>
      </c>
      <c r="N397" s="136">
        <f t="shared" si="207"/>
        <v>47848</v>
      </c>
      <c r="O397" s="136">
        <f t="shared" si="207"/>
        <v>48213</v>
      </c>
      <c r="P397" s="136">
        <f t="shared" si="207"/>
        <v>48579</v>
      </c>
      <c r="Q397" s="136">
        <f t="shared" si="207"/>
        <v>48944</v>
      </c>
      <c r="R397" s="136">
        <f t="shared" si="207"/>
        <v>49309</v>
      </c>
      <c r="S397" s="136">
        <f t="shared" si="207"/>
        <v>49674</v>
      </c>
      <c r="T397" s="136">
        <f t="shared" si="207"/>
        <v>50040</v>
      </c>
      <c r="U397" s="136">
        <f t="shared" si="207"/>
        <v>50405</v>
      </c>
      <c r="V397" s="136">
        <f t="shared" si="207"/>
        <v>50770</v>
      </c>
      <c r="W397" s="136">
        <f t="shared" si="207"/>
        <v>51135</v>
      </c>
      <c r="X397" s="136">
        <f t="shared" si="207"/>
        <v>51501</v>
      </c>
      <c r="Y397" s="136">
        <f t="shared" si="207"/>
        <v>51866</v>
      </c>
      <c r="Z397" s="136">
        <f t="shared" si="207"/>
        <v>52231</v>
      </c>
    </row>
    <row r="398" spans="2:26" x14ac:dyDescent="0.35">
      <c r="B398" s="119"/>
    </row>
    <row r="399" spans="2:26" x14ac:dyDescent="0.35">
      <c r="B399" s="148" t="s">
        <v>653</v>
      </c>
      <c r="F399" s="148">
        <v>0</v>
      </c>
      <c r="G399" s="148">
        <f>+F399+1</f>
        <v>1</v>
      </c>
      <c r="H399" s="148">
        <f t="shared" ref="H399:Z399" si="208">+G399+1</f>
        <v>2</v>
      </c>
      <c r="I399" s="148">
        <f t="shared" si="208"/>
        <v>3</v>
      </c>
      <c r="J399" s="148">
        <f t="shared" si="208"/>
        <v>4</v>
      </c>
      <c r="K399" s="148">
        <f t="shared" si="208"/>
        <v>5</v>
      </c>
      <c r="L399" s="148">
        <f t="shared" si="208"/>
        <v>6</v>
      </c>
      <c r="M399" s="148">
        <f t="shared" si="208"/>
        <v>7</v>
      </c>
      <c r="N399" s="148">
        <f t="shared" si="208"/>
        <v>8</v>
      </c>
      <c r="O399" s="148">
        <f t="shared" si="208"/>
        <v>9</v>
      </c>
      <c r="P399" s="148">
        <f t="shared" si="208"/>
        <v>10</v>
      </c>
      <c r="Q399" s="148">
        <f t="shared" si="208"/>
        <v>11</v>
      </c>
      <c r="R399" s="148">
        <f t="shared" si="208"/>
        <v>12</v>
      </c>
      <c r="S399" s="148">
        <f t="shared" si="208"/>
        <v>13</v>
      </c>
      <c r="T399" s="148">
        <f t="shared" si="208"/>
        <v>14</v>
      </c>
      <c r="U399" s="148">
        <f t="shared" si="208"/>
        <v>15</v>
      </c>
      <c r="V399" s="148">
        <f t="shared" si="208"/>
        <v>16</v>
      </c>
      <c r="W399" s="148">
        <f t="shared" si="208"/>
        <v>17</v>
      </c>
      <c r="X399" s="148">
        <f t="shared" si="208"/>
        <v>18</v>
      </c>
      <c r="Y399" s="148">
        <f t="shared" si="208"/>
        <v>19</v>
      </c>
      <c r="Z399" s="148">
        <f t="shared" si="208"/>
        <v>20</v>
      </c>
    </row>
    <row r="400" spans="2:26" x14ac:dyDescent="0.35">
      <c r="B400" s="33" t="s">
        <v>404</v>
      </c>
      <c r="D400" s="48"/>
      <c r="E400" s="48"/>
      <c r="F400" s="34">
        <f ca="1">+F$307</f>
        <v>-18868356.37705791</v>
      </c>
      <c r="G400" s="34">
        <f t="shared" ref="G400:Z400" ca="1" si="209">+G$307</f>
        <v>-17411715.9964917</v>
      </c>
      <c r="H400" s="34">
        <f t="shared" ca="1" si="209"/>
        <v>0</v>
      </c>
      <c r="I400" s="34">
        <f t="shared" ca="1" si="209"/>
        <v>0</v>
      </c>
      <c r="J400" s="34">
        <f t="shared" ca="1" si="209"/>
        <v>0</v>
      </c>
      <c r="K400" s="34">
        <f t="shared" ca="1" si="209"/>
        <v>0</v>
      </c>
      <c r="L400" s="34">
        <f t="shared" ca="1" si="209"/>
        <v>0</v>
      </c>
      <c r="M400" s="34">
        <f t="shared" ca="1" si="209"/>
        <v>0</v>
      </c>
      <c r="N400" s="34">
        <f t="shared" ca="1" si="209"/>
        <v>0</v>
      </c>
      <c r="O400" s="34">
        <f t="shared" ca="1" si="209"/>
        <v>0</v>
      </c>
      <c r="P400" s="34">
        <f t="shared" ca="1" si="209"/>
        <v>0</v>
      </c>
      <c r="Q400" s="34">
        <f t="shared" ca="1" si="209"/>
        <v>0</v>
      </c>
      <c r="R400" s="34">
        <f t="shared" ca="1" si="209"/>
        <v>0</v>
      </c>
      <c r="S400" s="34">
        <f t="shared" ca="1" si="209"/>
        <v>0</v>
      </c>
      <c r="T400" s="34">
        <f t="shared" ca="1" si="209"/>
        <v>0</v>
      </c>
      <c r="U400" s="34">
        <f t="shared" ca="1" si="209"/>
        <v>0</v>
      </c>
      <c r="V400" s="34">
        <f t="shared" ca="1" si="209"/>
        <v>0</v>
      </c>
      <c r="W400" s="34">
        <f t="shared" ca="1" si="209"/>
        <v>0</v>
      </c>
      <c r="X400" s="34">
        <f t="shared" ca="1" si="209"/>
        <v>0</v>
      </c>
      <c r="Y400" s="34">
        <f t="shared" ca="1" si="209"/>
        <v>0</v>
      </c>
      <c r="Z400" s="34">
        <f t="shared" ca="1" si="209"/>
        <v>0</v>
      </c>
    </row>
    <row r="401" spans="2:26" x14ac:dyDescent="0.35">
      <c r="B401" s="33" t="s">
        <v>422</v>
      </c>
      <c r="D401" s="48"/>
      <c r="E401" s="48"/>
      <c r="F401" s="151">
        <v>0</v>
      </c>
      <c r="G401" s="151">
        <v>0</v>
      </c>
      <c r="H401" s="151">
        <v>0</v>
      </c>
      <c r="I401" s="151">
        <v>0</v>
      </c>
      <c r="J401" s="151">
        <v>0</v>
      </c>
      <c r="K401" s="151">
        <v>0</v>
      </c>
      <c r="L401" s="151">
        <v>0</v>
      </c>
      <c r="M401" s="151">
        <v>0</v>
      </c>
      <c r="N401" s="151">
        <v>0</v>
      </c>
      <c r="O401" s="151">
        <v>0</v>
      </c>
      <c r="P401" s="151">
        <v>0</v>
      </c>
      <c r="Q401" s="151">
        <v>0</v>
      </c>
      <c r="R401" s="151">
        <v>0</v>
      </c>
      <c r="S401" s="151">
        <v>0</v>
      </c>
      <c r="T401" s="151">
        <v>0</v>
      </c>
      <c r="U401" s="151">
        <v>0</v>
      </c>
      <c r="V401" s="151">
        <v>0</v>
      </c>
      <c r="W401" s="151">
        <v>0</v>
      </c>
      <c r="X401" s="151">
        <v>0</v>
      </c>
      <c r="Y401" s="151">
        <v>0</v>
      </c>
      <c r="Z401" s="151">
        <v>0</v>
      </c>
    </row>
    <row r="402" spans="2:26" x14ac:dyDescent="0.35">
      <c r="B402" s="33" t="s">
        <v>423</v>
      </c>
      <c r="D402" s="48"/>
      <c r="E402" s="48"/>
      <c r="F402" s="151">
        <v>0</v>
      </c>
      <c r="G402" s="151">
        <v>0</v>
      </c>
      <c r="H402" s="151">
        <v>0</v>
      </c>
      <c r="I402" s="151">
        <v>0</v>
      </c>
      <c r="J402" s="151">
        <v>0</v>
      </c>
      <c r="K402" s="151">
        <v>0</v>
      </c>
      <c r="L402" s="151">
        <v>0</v>
      </c>
      <c r="M402" s="151">
        <v>0</v>
      </c>
      <c r="N402" s="151">
        <v>0</v>
      </c>
      <c r="O402" s="151">
        <v>0</v>
      </c>
      <c r="P402" s="151">
        <v>0</v>
      </c>
      <c r="Q402" s="151">
        <v>0</v>
      </c>
      <c r="R402" s="151">
        <v>0</v>
      </c>
      <c r="S402" s="151">
        <v>0</v>
      </c>
      <c r="T402" s="151">
        <v>0</v>
      </c>
      <c r="U402" s="151">
        <v>0</v>
      </c>
      <c r="V402" s="151">
        <v>0</v>
      </c>
      <c r="W402" s="151">
        <v>0</v>
      </c>
      <c r="X402" s="151">
        <v>0</v>
      </c>
      <c r="Y402" s="151">
        <v>0</v>
      </c>
      <c r="Z402" s="151">
        <v>0</v>
      </c>
    </row>
    <row r="403" spans="2:26" x14ac:dyDescent="0.35">
      <c r="B403" s="33" t="s">
        <v>648</v>
      </c>
      <c r="D403" s="48"/>
      <c r="E403" s="48"/>
      <c r="F403" s="151">
        <f ca="1">-SUM(F430:F431)*Assumptions!$M$192</f>
        <v>0</v>
      </c>
      <c r="G403" s="151">
        <f ca="1">-SUM(G430:G431)*Assumptions!$M$192</f>
        <v>0</v>
      </c>
      <c r="H403" s="151">
        <f ca="1">-SUM(H430:H431)*Assumptions!$M$192</f>
        <v>0</v>
      </c>
      <c r="I403" s="151">
        <f ca="1">-SUM(I430:I431)*Assumptions!$M$192</f>
        <v>653578.54896604316</v>
      </c>
      <c r="J403" s="151">
        <f ca="1">-SUM(J430:J431)*Assumptions!$M$192</f>
        <v>406273.76826403476</v>
      </c>
      <c r="K403" s="151">
        <f ca="1">-SUM(K430:K431)*Assumptions!$M$192</f>
        <v>295171.99138011702</v>
      </c>
      <c r="L403" s="151">
        <f ca="1">-SUM(L430:L431)*Assumptions!$M$192</f>
        <v>83777.069460419501</v>
      </c>
      <c r="M403" s="151">
        <f ca="1">-SUM(M430:M431)*Assumptions!$M$192</f>
        <v>10796.421184126306</v>
      </c>
      <c r="N403" s="151">
        <f ca="1">-SUM(N430:N431)*Assumptions!$M$192</f>
        <v>-80431.739585707619</v>
      </c>
      <c r="O403" s="151">
        <f>-SUM(O430:O431)*Assumptions!$M$192</f>
        <v>0</v>
      </c>
      <c r="P403" s="151">
        <f>-SUM(P430:P431)*Assumptions!$M$192</f>
        <v>0</v>
      </c>
      <c r="Q403" s="151">
        <f>-SUM(Q430:Q431)*Assumptions!$M$192</f>
        <v>0</v>
      </c>
      <c r="R403" s="151">
        <f>-SUM(R430:R431)*Assumptions!$M$192</f>
        <v>0</v>
      </c>
      <c r="S403" s="151">
        <f>-SUM(S430:S431)*Assumptions!$M$192</f>
        <v>0</v>
      </c>
      <c r="T403" s="151">
        <f>-SUM(T430:T431)*Assumptions!$M$192</f>
        <v>0</v>
      </c>
      <c r="U403" s="151">
        <f>-SUM(U430:U431)*Assumptions!$M$192</f>
        <v>0</v>
      </c>
      <c r="V403" s="151">
        <f>-SUM(V430:V431)*Assumptions!$M$192</f>
        <v>0</v>
      </c>
      <c r="W403" s="151">
        <f>-SUM(W430:W431)*Assumptions!$M$192</f>
        <v>0</v>
      </c>
      <c r="X403" s="151">
        <f>-SUM(X430:X431)*Assumptions!$M$192</f>
        <v>0</v>
      </c>
      <c r="Y403" s="151">
        <f>-SUM(Y430:Y431)*Assumptions!$M$192</f>
        <v>0</v>
      </c>
      <c r="Z403" s="151">
        <f>-SUM(Z430:Z431)*Assumptions!$M$192</f>
        <v>0</v>
      </c>
    </row>
    <row r="404" spans="2:26" x14ac:dyDescent="0.35">
      <c r="B404" s="33" t="s">
        <v>650</v>
      </c>
      <c r="D404" s="48"/>
      <c r="E404" s="48"/>
      <c r="F404" s="151">
        <f ca="1">+IF(YEAR(F$140)&lt;=YEAR(Assumptions!$G$30),F267+F222+F152,0)</f>
        <v>0</v>
      </c>
      <c r="G404" s="151">
        <f ca="1">+IF(YEAR(G$140)&lt;=YEAR(Assumptions!$G$30),G267+G222+G152,0)</f>
        <v>0</v>
      </c>
      <c r="H404" s="151">
        <f ca="1">+IF(YEAR(H$140)&lt;=YEAR(Assumptions!$G$30),H267+H222+H152,0)</f>
        <v>0</v>
      </c>
      <c r="I404" s="151">
        <f ca="1">+IF(YEAR(I$140)&lt;=YEAR(Assumptions!$G$30),I267+I222+I152,0)</f>
        <v>-5770924.7064398667</v>
      </c>
      <c r="J404" s="151">
        <f ca="1">+IF(YEAR(J$140)&lt;=YEAR(Assumptions!$G$30),J267+J222+J152,0)</f>
        <v>3047194.9531564033</v>
      </c>
      <c r="K404" s="151">
        <f ca="1">+IF(YEAR(K$140)&lt;=YEAR(Assumptions!$G$30),K267+K222+K152,0)</f>
        <v>3480773.6680041822</v>
      </c>
      <c r="L404" s="151">
        <f ca="1">+IF(YEAR(L$140)&lt;=YEAR(Assumptions!$G$30),L267+L222+L152,0)</f>
        <v>4385732.7590233833</v>
      </c>
      <c r="M404" s="151">
        <f ca="1">+IF(YEAR(M$140)&lt;=YEAR(Assumptions!$G$30),M267+M222+M152,0)</f>
        <v>4624966.840634143</v>
      </c>
      <c r="N404" s="151">
        <f ca="1">+IF(YEAR(N$140)&lt;=YEAR(Assumptions!$G$30),N267+N222+N152,0)</f>
        <v>4944054.8059095126</v>
      </c>
      <c r="O404" s="151">
        <f>+IF(YEAR(O$140)&lt;=YEAR(Assumptions!$G$30),O267+O222+O152,0)</f>
        <v>0</v>
      </c>
      <c r="P404" s="151">
        <f>+IF(YEAR(P$140)&lt;=YEAR(Assumptions!$G$30),P267+P222+P152,0)</f>
        <v>0</v>
      </c>
      <c r="Q404" s="151">
        <f>+IF(YEAR(Q$140)&lt;=YEAR(Assumptions!$G$30),Q267+Q222+Q152,0)</f>
        <v>0</v>
      </c>
      <c r="R404" s="151">
        <f>+IF(YEAR(R$140)&lt;=YEAR(Assumptions!$G$30),R267+R222+R152,0)</f>
        <v>0</v>
      </c>
      <c r="S404" s="151">
        <f>+IF(YEAR(S$140)&lt;=YEAR(Assumptions!$G$30),S267+S222+S152,0)</f>
        <v>0</v>
      </c>
      <c r="T404" s="151">
        <f>+IF(YEAR(T$140)&lt;=YEAR(Assumptions!$G$30),T267+T222+T152,0)</f>
        <v>0</v>
      </c>
      <c r="U404" s="151">
        <f>+IF(YEAR(U$140)&lt;=YEAR(Assumptions!$G$30),U267+U222+U152,0)</f>
        <v>0</v>
      </c>
      <c r="V404" s="151">
        <f>+IF(YEAR(V$140)&lt;=YEAR(Assumptions!$G$30),V267+V222+V152,0)</f>
        <v>0</v>
      </c>
      <c r="W404" s="151">
        <f>+IF(YEAR(W$140)&lt;=YEAR(Assumptions!$G$30),W267+W222+W152,0)</f>
        <v>0</v>
      </c>
      <c r="X404" s="151">
        <f>+IF(YEAR(X$140)&lt;=YEAR(Assumptions!$G$30),X267+X222+X152,0)</f>
        <v>0</v>
      </c>
      <c r="Y404" s="151">
        <f>+IF(YEAR(Y$140)&lt;=YEAR(Assumptions!$G$30),Y267+Y222+Y152,0)</f>
        <v>0</v>
      </c>
      <c r="Z404" s="151">
        <f>+IF(YEAR(Z$140)&lt;=YEAR(Assumptions!$G$30),Z267+Z222+Z152,0)</f>
        <v>0</v>
      </c>
    </row>
    <row r="405" spans="2:26" x14ac:dyDescent="0.35">
      <c r="B405" s="33" t="s">
        <v>649</v>
      </c>
      <c r="D405" s="48"/>
      <c r="E405" s="48"/>
      <c r="F405" s="151">
        <f>-IF(YEAR(F$140)&lt;=YEAR(Assumptions!$G$30),F433,0)</f>
        <v>0</v>
      </c>
      <c r="G405" s="151">
        <f>-IF(YEAR(G$140)&lt;=YEAR(Assumptions!$G$30),G433,0)</f>
        <v>0</v>
      </c>
      <c r="H405" s="151">
        <f>-IF(YEAR(H$140)&lt;=YEAR(Assumptions!$G$30),H433,0)</f>
        <v>0</v>
      </c>
      <c r="I405" s="151">
        <f ca="1">-IF(YEAR(I$140)&lt;=YEAR(Assumptions!$G$30),I433,0)</f>
        <v>24678113.534651399</v>
      </c>
      <c r="J405" s="151">
        <f>-IF(YEAR(J$140)&lt;=YEAR(Assumptions!$G$30),J433,0)</f>
        <v>0</v>
      </c>
      <c r="K405" s="151">
        <f>-IF(YEAR(K$140)&lt;=YEAR(Assumptions!$G$30),K433,0)</f>
        <v>0</v>
      </c>
      <c r="L405" s="151">
        <f>-IF(YEAR(L$140)&lt;=YEAR(Assumptions!$G$30),L433,0)</f>
        <v>0</v>
      </c>
      <c r="M405" s="151">
        <f>-IF(YEAR(M$140)&lt;=YEAR(Assumptions!$G$30),M433,0)</f>
        <v>0</v>
      </c>
      <c r="N405" s="151">
        <f ca="1">-IF(YEAR(N$140)&lt;=YEAR(Assumptions!$G$30),N433,0)</f>
        <v>109562781.1445187</v>
      </c>
      <c r="O405" s="151">
        <f>-IF(YEAR(O$140)&lt;=YEAR(Assumptions!$G$30),O433,0)</f>
        <v>0</v>
      </c>
      <c r="P405" s="151">
        <f>-IF(YEAR(P$140)&lt;=YEAR(Assumptions!$G$30),P433,0)</f>
        <v>0</v>
      </c>
      <c r="Q405" s="151">
        <f>-IF(YEAR(Q$140)&lt;=YEAR(Assumptions!$G$30),Q433,0)</f>
        <v>0</v>
      </c>
      <c r="R405" s="151">
        <f>-IF(YEAR(R$140)&lt;=YEAR(Assumptions!$G$30),R433,0)</f>
        <v>0</v>
      </c>
      <c r="S405" s="151">
        <f>-IF(YEAR(S$140)&lt;=YEAR(Assumptions!$G$30),S433,0)</f>
        <v>0</v>
      </c>
      <c r="T405" s="151">
        <f>-IF(YEAR(T$140)&lt;=YEAR(Assumptions!$G$30),T433,0)</f>
        <v>0</v>
      </c>
      <c r="U405" s="151">
        <f>-IF(YEAR(U$140)&lt;=YEAR(Assumptions!$G$30),U433,0)</f>
        <v>0</v>
      </c>
      <c r="V405" s="151">
        <f>-IF(YEAR(V$140)&lt;=YEAR(Assumptions!$G$30),V433,0)</f>
        <v>0</v>
      </c>
      <c r="W405" s="151">
        <f>-IF(YEAR(W$140)&lt;=YEAR(Assumptions!$G$30),W433,0)</f>
        <v>0</v>
      </c>
      <c r="X405" s="151">
        <f>-IF(YEAR(X$140)&lt;=YEAR(Assumptions!$G$30),X433,0)</f>
        <v>0</v>
      </c>
      <c r="Y405" s="151">
        <f>-IF(YEAR(Y$140)&lt;=YEAR(Assumptions!$G$30),Y433,0)</f>
        <v>0</v>
      </c>
      <c r="Z405" s="151">
        <f>-IF(YEAR(Z$140)&lt;=YEAR(Assumptions!$G$30),Z433,0)</f>
        <v>0</v>
      </c>
    </row>
    <row r="406" spans="2:26" x14ac:dyDescent="0.35">
      <c r="B406" s="33" t="s">
        <v>421</v>
      </c>
      <c r="D406" s="48"/>
      <c r="E406" s="48"/>
      <c r="F406" s="151">
        <f>-F434*Assumptions!$M$192</f>
        <v>0</v>
      </c>
      <c r="G406" s="151">
        <f>-G434*Assumptions!$M$192</f>
        <v>0</v>
      </c>
      <c r="H406" s="151">
        <f>-H434*Assumptions!$M$192</f>
        <v>0</v>
      </c>
      <c r="I406" s="151">
        <f>-I434*Assumptions!$M$192</f>
        <v>0</v>
      </c>
      <c r="J406" s="151">
        <f>-J434*Assumptions!$M$192</f>
        <v>0</v>
      </c>
      <c r="K406" s="151">
        <f>-K434*Assumptions!$M$192</f>
        <v>0</v>
      </c>
      <c r="L406" s="151">
        <f>-L434*Assumptions!$M$192</f>
        <v>0</v>
      </c>
      <c r="M406" s="151">
        <f>-M434*Assumptions!$M$192</f>
        <v>0</v>
      </c>
      <c r="N406" s="151">
        <f ca="1">-N434*Assumptions!$M$192</f>
        <v>-25030416.391109765</v>
      </c>
      <c r="O406" s="151">
        <f>-O434*Assumptions!$M$192</f>
        <v>0</v>
      </c>
      <c r="P406" s="151">
        <f>-P434*Assumptions!$M$192</f>
        <v>0</v>
      </c>
      <c r="Q406" s="151">
        <f>-Q434*Assumptions!$M$192</f>
        <v>0</v>
      </c>
      <c r="R406" s="151">
        <f>-R434*Assumptions!$M$192</f>
        <v>0</v>
      </c>
      <c r="S406" s="151">
        <f>-S434*Assumptions!$M$192</f>
        <v>0</v>
      </c>
      <c r="T406" s="151">
        <f>-T434*Assumptions!$M$192</f>
        <v>0</v>
      </c>
      <c r="U406" s="151">
        <f>-U434*Assumptions!$M$192</f>
        <v>0</v>
      </c>
      <c r="V406" s="151">
        <f>-V434*Assumptions!$M$192</f>
        <v>0</v>
      </c>
      <c r="W406" s="151">
        <f>-W434*Assumptions!$M$192</f>
        <v>0</v>
      </c>
      <c r="X406" s="151">
        <f>-X434*Assumptions!$M$192</f>
        <v>0</v>
      </c>
      <c r="Y406" s="151">
        <f>-Y434*Assumptions!$M$192</f>
        <v>0</v>
      </c>
      <c r="Z406" s="151">
        <f>-Z434*Assumptions!$M$192</f>
        <v>0</v>
      </c>
    </row>
    <row r="407" spans="2:26" x14ac:dyDescent="0.35">
      <c r="B407" s="138" t="s">
        <v>413</v>
      </c>
      <c r="C407" s="138"/>
      <c r="D407" s="139">
        <f t="shared" ref="D407" ca="1" si="210">+SUM(F407:Z407)</f>
        <v>89011370.294467598</v>
      </c>
      <c r="E407" s="139"/>
      <c r="F407" s="139">
        <f t="shared" ref="F407:Z407" ca="1" si="211">+SUM(F400:F406)</f>
        <v>-18868356.37705791</v>
      </c>
      <c r="G407" s="139">
        <f t="shared" ca="1" si="211"/>
        <v>-17411715.9964917</v>
      </c>
      <c r="H407" s="139">
        <f t="shared" ca="1" si="211"/>
        <v>0</v>
      </c>
      <c r="I407" s="139">
        <f t="shared" ca="1" si="211"/>
        <v>19560767.377177574</v>
      </c>
      <c r="J407" s="139">
        <f t="shared" ca="1" si="211"/>
        <v>3453468.721420438</v>
      </c>
      <c r="K407" s="139">
        <f t="shared" ca="1" si="211"/>
        <v>3775945.6593842991</v>
      </c>
      <c r="L407" s="139">
        <f t="shared" ca="1" si="211"/>
        <v>4469509.8284838032</v>
      </c>
      <c r="M407" s="139">
        <f t="shared" ca="1" si="211"/>
        <v>4635763.2618182693</v>
      </c>
      <c r="N407" s="139">
        <f t="shared" ca="1" si="211"/>
        <v>89395987.819732741</v>
      </c>
      <c r="O407" s="139">
        <f t="shared" ca="1" si="211"/>
        <v>0</v>
      </c>
      <c r="P407" s="139">
        <f t="shared" ca="1" si="211"/>
        <v>0</v>
      </c>
      <c r="Q407" s="139">
        <f t="shared" ca="1" si="211"/>
        <v>0</v>
      </c>
      <c r="R407" s="139">
        <f t="shared" ca="1" si="211"/>
        <v>0</v>
      </c>
      <c r="S407" s="139">
        <f t="shared" ca="1" si="211"/>
        <v>0</v>
      </c>
      <c r="T407" s="139">
        <f t="shared" ca="1" si="211"/>
        <v>0</v>
      </c>
      <c r="U407" s="139">
        <f t="shared" ca="1" si="211"/>
        <v>0</v>
      </c>
      <c r="V407" s="139">
        <f t="shared" ca="1" si="211"/>
        <v>0</v>
      </c>
      <c r="W407" s="139">
        <f t="shared" ca="1" si="211"/>
        <v>0</v>
      </c>
      <c r="X407" s="139">
        <f t="shared" ca="1" si="211"/>
        <v>0</v>
      </c>
      <c r="Y407" s="139">
        <f t="shared" ca="1" si="211"/>
        <v>0</v>
      </c>
      <c r="Z407" s="139">
        <f t="shared" ca="1" si="211"/>
        <v>0</v>
      </c>
    </row>
    <row r="408" spans="2:26" x14ac:dyDescent="0.35">
      <c r="B408" s="119"/>
    </row>
    <row r="409" spans="2:26" x14ac:dyDescent="0.35">
      <c r="B409" s="226" t="s">
        <v>651</v>
      </c>
      <c r="C409" s="226"/>
      <c r="D409" s="227">
        <f ca="1">+IRR(F407:Z407)</f>
        <v>0.22852329950513783</v>
      </c>
      <c r="F409" s="554"/>
      <c r="G409" s="34"/>
    </row>
    <row r="410" spans="2:26" x14ac:dyDescent="0.35">
      <c r="B410" s="119"/>
      <c r="D410" s="108"/>
    </row>
    <row r="411" spans="2:26" x14ac:dyDescent="0.35">
      <c r="B411" s="148" t="s">
        <v>652</v>
      </c>
      <c r="F411" s="148">
        <f>+F399</f>
        <v>0</v>
      </c>
      <c r="G411" s="148">
        <f t="shared" ref="G411:Z412" si="212">+G399</f>
        <v>1</v>
      </c>
      <c r="H411" s="148">
        <f t="shared" si="212"/>
        <v>2</v>
      </c>
      <c r="I411" s="148">
        <f t="shared" si="212"/>
        <v>3</v>
      </c>
      <c r="J411" s="148">
        <f t="shared" si="212"/>
        <v>4</v>
      </c>
      <c r="K411" s="148">
        <f t="shared" si="212"/>
        <v>5</v>
      </c>
      <c r="L411" s="148">
        <f t="shared" si="212"/>
        <v>6</v>
      </c>
      <c r="M411" s="148">
        <f t="shared" si="212"/>
        <v>7</v>
      </c>
      <c r="N411" s="148">
        <f t="shared" si="212"/>
        <v>8</v>
      </c>
      <c r="O411" s="148">
        <f t="shared" si="212"/>
        <v>9</v>
      </c>
      <c r="P411" s="148">
        <f t="shared" si="212"/>
        <v>10</v>
      </c>
      <c r="Q411" s="148">
        <f t="shared" si="212"/>
        <v>11</v>
      </c>
      <c r="R411" s="148">
        <f t="shared" si="212"/>
        <v>12</v>
      </c>
      <c r="S411" s="148">
        <f t="shared" si="212"/>
        <v>13</v>
      </c>
      <c r="T411" s="148">
        <f t="shared" si="212"/>
        <v>14</v>
      </c>
      <c r="U411" s="148">
        <f t="shared" si="212"/>
        <v>15</v>
      </c>
      <c r="V411" s="148">
        <f t="shared" si="212"/>
        <v>16</v>
      </c>
      <c r="W411" s="148">
        <f t="shared" si="212"/>
        <v>17</v>
      </c>
      <c r="X411" s="148">
        <f t="shared" si="212"/>
        <v>18</v>
      </c>
      <c r="Y411" s="148">
        <f t="shared" si="212"/>
        <v>19</v>
      </c>
      <c r="Z411" s="148">
        <f t="shared" si="212"/>
        <v>20</v>
      </c>
    </row>
    <row r="412" spans="2:26" x14ac:dyDescent="0.35">
      <c r="B412" s="33" t="s">
        <v>404</v>
      </c>
      <c r="D412" s="48"/>
      <c r="E412" s="48"/>
      <c r="F412" s="34">
        <f ca="1">+F400</f>
        <v>-18868356.37705791</v>
      </c>
      <c r="G412" s="34">
        <f t="shared" ca="1" si="212"/>
        <v>-17411715.9964917</v>
      </c>
      <c r="H412" s="34">
        <f t="shared" ca="1" si="212"/>
        <v>0</v>
      </c>
      <c r="I412" s="34">
        <f t="shared" ca="1" si="212"/>
        <v>0</v>
      </c>
      <c r="J412" s="34">
        <f t="shared" ca="1" si="212"/>
        <v>0</v>
      </c>
      <c r="K412" s="34">
        <f t="shared" ca="1" si="212"/>
        <v>0</v>
      </c>
      <c r="L412" s="34">
        <f t="shared" ca="1" si="212"/>
        <v>0</v>
      </c>
      <c r="M412" s="34">
        <f t="shared" ca="1" si="212"/>
        <v>0</v>
      </c>
      <c r="N412" s="34">
        <f t="shared" ca="1" si="212"/>
        <v>0</v>
      </c>
      <c r="O412" s="34">
        <f t="shared" ca="1" si="212"/>
        <v>0</v>
      </c>
      <c r="P412" s="34">
        <f t="shared" ca="1" si="212"/>
        <v>0</v>
      </c>
      <c r="Q412" s="34">
        <f t="shared" ca="1" si="212"/>
        <v>0</v>
      </c>
      <c r="R412" s="34">
        <f t="shared" ca="1" si="212"/>
        <v>0</v>
      </c>
      <c r="S412" s="34">
        <f t="shared" ca="1" si="212"/>
        <v>0</v>
      </c>
      <c r="T412" s="34">
        <f t="shared" ca="1" si="212"/>
        <v>0</v>
      </c>
      <c r="U412" s="34">
        <f t="shared" ca="1" si="212"/>
        <v>0</v>
      </c>
      <c r="V412" s="34">
        <f t="shared" ca="1" si="212"/>
        <v>0</v>
      </c>
      <c r="W412" s="34">
        <f t="shared" ca="1" si="212"/>
        <v>0</v>
      </c>
      <c r="X412" s="34">
        <f t="shared" ca="1" si="212"/>
        <v>0</v>
      </c>
      <c r="Y412" s="34">
        <f t="shared" ca="1" si="212"/>
        <v>0</v>
      </c>
      <c r="Z412" s="34">
        <f t="shared" ca="1" si="212"/>
        <v>0</v>
      </c>
    </row>
    <row r="413" spans="2:26" x14ac:dyDescent="0.35">
      <c r="B413" s="33" t="s">
        <v>422</v>
      </c>
      <c r="D413" s="48"/>
      <c r="E413" s="48"/>
      <c r="F413" s="151">
        <f ca="1">-F412*Assumptions!$M$192</f>
        <v>3962354.8391821608</v>
      </c>
      <c r="G413" s="151">
        <f ca="1">-G412*Assumptions!$M$192</f>
        <v>3656460.3592632571</v>
      </c>
      <c r="H413" s="151">
        <f ca="1">-H412*Assumptions!$M$192</f>
        <v>0</v>
      </c>
      <c r="I413" s="151">
        <f ca="1">-I412*Assumptions!$M$192</f>
        <v>0</v>
      </c>
      <c r="J413" s="151">
        <f ca="1">-J412*Assumptions!$M$192</f>
        <v>0</v>
      </c>
      <c r="K413" s="151">
        <f ca="1">-K412*Assumptions!$M$192</f>
        <v>0</v>
      </c>
      <c r="L413" s="151">
        <f ca="1">-L412*Assumptions!$M$192</f>
        <v>0</v>
      </c>
      <c r="M413" s="151">
        <f ca="1">-M412*Assumptions!$M$192</f>
        <v>0</v>
      </c>
      <c r="N413" s="151">
        <f ca="1">-N412*Assumptions!$M$192</f>
        <v>0</v>
      </c>
      <c r="O413" s="151">
        <f ca="1">-O412*Assumptions!$M$192</f>
        <v>0</v>
      </c>
      <c r="P413" s="151">
        <f ca="1">-P412*Assumptions!$M$192</f>
        <v>0</v>
      </c>
      <c r="Q413" s="151">
        <f ca="1">-Q412*Assumptions!$M$192</f>
        <v>0</v>
      </c>
      <c r="R413" s="151">
        <f ca="1">-R412*Assumptions!$M$192</f>
        <v>0</v>
      </c>
      <c r="S413" s="151">
        <f ca="1">-S412*Assumptions!$M$192</f>
        <v>0</v>
      </c>
      <c r="T413" s="151">
        <f ca="1">-T412*Assumptions!$M$192</f>
        <v>0</v>
      </c>
      <c r="U413" s="151">
        <f ca="1">-U412*Assumptions!$M$192</f>
        <v>0</v>
      </c>
      <c r="V413" s="151">
        <f ca="1">-V412*Assumptions!$M$192</f>
        <v>0</v>
      </c>
      <c r="W413" s="151">
        <f ca="1">-W412*Assumptions!$M$192</f>
        <v>0</v>
      </c>
      <c r="X413" s="151">
        <f ca="1">-X412*Assumptions!$M$192</f>
        <v>0</v>
      </c>
      <c r="Y413" s="151">
        <f ca="1">-Y412*Assumptions!$M$192</f>
        <v>0</v>
      </c>
      <c r="Z413" s="151">
        <f ca="1">-Z412*Assumptions!$M$192</f>
        <v>0</v>
      </c>
    </row>
    <row r="414" spans="2:26" x14ac:dyDescent="0.35">
      <c r="B414" s="33" t="s">
        <v>423</v>
      </c>
      <c r="D414" s="48"/>
      <c r="E414" s="48"/>
      <c r="F414" s="151">
        <f ca="1">IFERROR(-IF(YEAR(F397)&lt;MIN(YEAR(Assumptions!$G$30),2026),(OFFSET(F413,0,-10)),IF(YEAR(F397)=MIN(YEAR(Assumptions!$G$30),2026),SUM($E$413:F$413)-SUM($E$414:E$414),0)),0)</f>
        <v>0</v>
      </c>
      <c r="G414" s="151">
        <f ca="1">IFERROR(-IF(YEAR(G397)&lt;MIN(YEAR(Assumptions!$G$30),2026),(OFFSET(G413,0,-10)),IF(YEAR(G397)=MIN(YEAR(Assumptions!$G$30),2026),SUM($E$413:G$413)-SUM($E$414:F$414),0)),0)</f>
        <v>0</v>
      </c>
      <c r="H414" s="151">
        <f ca="1">IFERROR(-IF(YEAR(H397)&lt;MIN(YEAR(Assumptions!$G$30),2026),(OFFSET(H413,0,-10)),IF(YEAR(H397)=MIN(YEAR(Assumptions!$G$30),2026),SUM($E$413:H$413)-SUM($E$414:G$414),0)),0)</f>
        <v>0</v>
      </c>
      <c r="I414" s="151">
        <f ca="1">IFERROR(-IF(YEAR(I397)&lt;MIN(YEAR(Assumptions!$G$30),2026),(OFFSET(I413,0,-10)),IF(YEAR(I397)=MIN(YEAR(Assumptions!$G$30),2026),SUM($E$413:I$413)-SUM($E$414:H$414),0)),0)</f>
        <v>0</v>
      </c>
      <c r="J414" s="151">
        <f ca="1">IFERROR(-IF(YEAR(J397)&lt;MIN(YEAR(Assumptions!$G$30),2026),(OFFSET(J413,0,-10)),IF(YEAR(J397)=MIN(YEAR(Assumptions!$G$30),2026),SUM($E$413:J$413)-SUM($E$414:I$414),0)),0)</f>
        <v>-7618815.1984454179</v>
      </c>
      <c r="K414" s="151">
        <f ca="1">IFERROR(-IF(YEAR(K397)&lt;MIN(YEAR(Assumptions!$G$30),2026),(OFFSET(K413,0,-10)),IF(YEAR(K397)=MIN(YEAR(Assumptions!$G$30),2026),SUM($E$413:K$413)-SUM($E$414:J$414),0)),0)</f>
        <v>0</v>
      </c>
      <c r="L414" s="151">
        <f ca="1">IFERROR(-IF(YEAR(L397)&lt;MIN(YEAR(Assumptions!$G$30),2026),(OFFSET(L413,0,-10)),IF(YEAR(L397)=MIN(YEAR(Assumptions!$G$30),2026),SUM($E$413:L$413)-SUM($E$414:K$414),0)),0)</f>
        <v>0</v>
      </c>
      <c r="M414" s="151">
        <f ca="1">IFERROR(-IF(YEAR(M397)&lt;MIN(YEAR(Assumptions!$G$30),2026),(OFFSET(M413,0,-10)),IF(YEAR(M397)=MIN(YEAR(Assumptions!$G$30),2026),SUM($E$413:M$413)-SUM($E$414:L$414),0)),0)</f>
        <v>0</v>
      </c>
      <c r="N414" s="151">
        <f ca="1">IFERROR(-IF(YEAR(N397)&lt;MIN(YEAR(Assumptions!$G$30),2026),(OFFSET(N413,0,-10)),IF(YEAR(N397)=MIN(YEAR(Assumptions!$G$30),2026),SUM($E$413:N$413)-SUM($E$414:M$414),0)),0)</f>
        <v>0</v>
      </c>
      <c r="O414" s="151">
        <f ca="1">IFERROR(-IF(YEAR(O397)&lt;MIN(YEAR(Assumptions!$G$30),2026),(OFFSET(O413,0,-10)),IF(YEAR(O397)=MIN(YEAR(Assumptions!$G$30),2026),SUM($E$413:O$413)-SUM($E$414:N$414),0)),0)</f>
        <v>0</v>
      </c>
      <c r="P414" s="151">
        <f ca="1">IFERROR(-IF(YEAR(P397)&lt;MIN(YEAR(Assumptions!$G$30),2026),(OFFSET(P413,0,-10)),IF(YEAR(P397)=MIN(YEAR(Assumptions!$G$30),2026),SUM($E$413:P$413)-SUM($E$414:O$414),0)),0)</f>
        <v>0</v>
      </c>
      <c r="Q414" s="151">
        <f ca="1">IFERROR(-IF(YEAR(Q397)&lt;MIN(YEAR(Assumptions!$G$30),2026),(OFFSET(Q413,0,-10)),IF(YEAR(Q397)=MIN(YEAR(Assumptions!$G$30),2026),SUM($E$413:Q$413)-SUM($E$414:P$414),0)),0)</f>
        <v>0</v>
      </c>
      <c r="R414" s="151">
        <f ca="1">IFERROR(-IF(YEAR(R397)&lt;MIN(YEAR(Assumptions!$G$30),2026),(OFFSET(R413,0,-10)),IF(YEAR(R397)=MIN(YEAR(Assumptions!$G$30),2026),SUM($E$413:R$413)-SUM($E$414:Q$414),0)),0)</f>
        <v>0</v>
      </c>
      <c r="S414" s="151">
        <f ca="1">IFERROR(-IF(YEAR(S397)&lt;MIN(YEAR(Assumptions!$G$30),2026),(OFFSET(S413,0,-10)),IF(YEAR(S397)=MIN(YEAR(Assumptions!$G$30),2026),SUM($E$413:S$413)-SUM($E$414:R$414),0)),0)</f>
        <v>0</v>
      </c>
      <c r="T414" s="151">
        <f ca="1">IFERROR(-IF(YEAR(T397)&lt;MIN(YEAR(Assumptions!$G$30),2026),(OFFSET(T413,0,-10)),IF(YEAR(T397)=MIN(YEAR(Assumptions!$G$30),2026),SUM($E$413:T$413)-SUM($E$414:S$414),0)),0)</f>
        <v>0</v>
      </c>
      <c r="U414" s="151">
        <f ca="1">IFERROR(-IF(YEAR(U397)&lt;MIN(YEAR(Assumptions!$G$30),2026),(OFFSET(U413,0,-10)),IF(YEAR(U397)=MIN(YEAR(Assumptions!$G$30),2026),SUM($E$413:U$413)-SUM($E$414:T$414),0)),0)</f>
        <v>0</v>
      </c>
      <c r="V414" s="151">
        <f ca="1">IFERROR(-IF(YEAR(V397)&lt;MIN(YEAR(Assumptions!$G$30),2026),(OFFSET(V413,0,-10)),IF(YEAR(V397)=MIN(YEAR(Assumptions!$G$30),2026),SUM($E$413:V$413)-SUM($E$414:U$414),0)),0)</f>
        <v>0</v>
      </c>
      <c r="W414" s="151">
        <f ca="1">IFERROR(-IF(YEAR(W397)&lt;MIN(YEAR(Assumptions!$G$30),2026),(OFFSET(W413,0,-10)),IF(YEAR(W397)=MIN(YEAR(Assumptions!$G$30),2026),SUM($E$413:W$413)-SUM($E$414:V$414),0)),0)</f>
        <v>0</v>
      </c>
      <c r="X414" s="151">
        <f ca="1">IFERROR(-IF(YEAR(X397)&lt;MIN(YEAR(Assumptions!$G$30),2026),(OFFSET(X413,0,-10)),IF(YEAR(X397)=MIN(YEAR(Assumptions!$G$30),2026),SUM($E$413:X$413)-SUM($E$414:W$414),0)),0)</f>
        <v>0</v>
      </c>
      <c r="Y414" s="151">
        <f ca="1">IFERROR(-IF(YEAR(Y397)&lt;MIN(YEAR(Assumptions!$G$30),2026),(OFFSET(Y413,0,-10)),IF(YEAR(Y397)=MIN(YEAR(Assumptions!$G$30),2026),SUM($E$413:Y$413)-SUM($E$414:X$414),0)),0)</f>
        <v>0</v>
      </c>
      <c r="Z414" s="151">
        <f ca="1">IFERROR(-IF(YEAR(Z397)&lt;MIN(YEAR(Assumptions!$G$30),2026),(OFFSET(Z413,0,-10)),IF(YEAR(Z397)=MIN(YEAR(Assumptions!$G$30),2026),SUM($E$413:Z$413)-SUM($E$414:Y$414),0)),0)</f>
        <v>0</v>
      </c>
    </row>
    <row r="415" spans="2:26" x14ac:dyDescent="0.35">
      <c r="B415" s="33" t="s">
        <v>424</v>
      </c>
      <c r="D415" s="48"/>
      <c r="E415" s="48"/>
      <c r="F415" s="151">
        <f>+IF(YEAR(F397)=MIN(YEAR(Assumptions!$G$30),2026),SUM($F$425:$Z$425),0)</f>
        <v>0</v>
      </c>
      <c r="G415" s="151">
        <f>+IF(YEAR(G397)=MIN(YEAR(Assumptions!$G$30),2026),SUM($F$425:$Z$425),0)</f>
        <v>0</v>
      </c>
      <c r="H415" s="151">
        <f>+IF(YEAR(H397)=MIN(YEAR(Assumptions!$G$30),2026),SUM($F$425:$Z$425),0)</f>
        <v>0</v>
      </c>
      <c r="I415" s="151">
        <f>+IF(YEAR(I397)=MIN(YEAR(Assumptions!$G$30),2026),SUM($F$425:$Z$425),0)</f>
        <v>0</v>
      </c>
      <c r="J415" s="151">
        <f ca="1">+IF(YEAR(J397)=MIN(YEAR(Assumptions!$G$30),2026),SUM($F$425:$Z$425),0)</f>
        <v>1142822.2797668118</v>
      </c>
      <c r="K415" s="151">
        <f>+IF(YEAR(K397)=MIN(YEAR(Assumptions!$G$30),2026),SUM($F$425:$Z$425),0)</f>
        <v>0</v>
      </c>
      <c r="L415" s="151">
        <f>+IF(YEAR(L397)=MIN(YEAR(Assumptions!$G$30),2026),SUM($F$425:$Z$425),0)</f>
        <v>0</v>
      </c>
      <c r="M415" s="151">
        <f>+IF(YEAR(M397)=MIN(YEAR(Assumptions!$G$30),2026),SUM($F$425:$Z$425),0)</f>
        <v>0</v>
      </c>
      <c r="N415" s="151">
        <f>+IF(YEAR(N397)=MIN(YEAR(Assumptions!$G$30),2026),SUM($F$425:$Z$425),0)</f>
        <v>0</v>
      </c>
      <c r="O415" s="151">
        <f>+IF(YEAR(O397)=MIN(YEAR(Assumptions!$G$30),2026),SUM($F$425:$Z$425),0)</f>
        <v>0</v>
      </c>
      <c r="P415" s="151">
        <f>+IF(YEAR(P397)=MIN(YEAR(Assumptions!$G$30),2026),SUM($F$425:$Z$425),0)</f>
        <v>0</v>
      </c>
      <c r="Q415" s="151">
        <f>+IF(YEAR(Q397)=MIN(YEAR(Assumptions!$G$30),2026),SUM($F$425:$Z$425),0)</f>
        <v>0</v>
      </c>
      <c r="R415" s="151">
        <f>+IF(YEAR(R397)=MIN(YEAR(Assumptions!$G$30),2026),SUM($F$425:$Z$425),0)</f>
        <v>0</v>
      </c>
      <c r="S415" s="151">
        <f>+IF(YEAR(S397)=MIN(YEAR(Assumptions!$G$30),2026),SUM($F$425:$Z$425),0)</f>
        <v>0</v>
      </c>
      <c r="T415" s="151">
        <f>+IF(YEAR(T397)=MIN(YEAR(Assumptions!$G$30),2026),SUM($F$425:$Z$425),0)</f>
        <v>0</v>
      </c>
      <c r="U415" s="151">
        <f>+IF(YEAR(U397)=MIN(YEAR(Assumptions!$G$30),2026),SUM($F$425:$Z$425),0)</f>
        <v>0</v>
      </c>
      <c r="V415" s="151">
        <f>+IF(YEAR(V397)=MIN(YEAR(Assumptions!$G$30),2026),SUM($F$425:$Z$425),0)</f>
        <v>0</v>
      </c>
      <c r="W415" s="151">
        <f>+IF(YEAR(W397)=MIN(YEAR(Assumptions!$G$30),2026),SUM($F$425:$Z$425),0)</f>
        <v>0</v>
      </c>
      <c r="X415" s="151">
        <f>+IF(YEAR(X397)=MIN(YEAR(Assumptions!$G$30),2026),SUM($F$425:$Z$425),0)</f>
        <v>0</v>
      </c>
      <c r="Y415" s="151">
        <f>+IF(YEAR(Y397)=MIN(YEAR(Assumptions!$G$30),2026),SUM($F$425:$Z$425),0)</f>
        <v>0</v>
      </c>
      <c r="Z415" s="151">
        <f>+IF(YEAR(Z397)=MIN(YEAR(Assumptions!$G$30),2026),SUM($F$425:$Z$425),0)</f>
        <v>0</v>
      </c>
    </row>
    <row r="416" spans="2:26" x14ac:dyDescent="0.35">
      <c r="B416" s="33" t="s">
        <v>648</v>
      </c>
      <c r="D416" s="48"/>
      <c r="E416" s="48"/>
      <c r="F416" s="151">
        <f ca="1">+F403</f>
        <v>0</v>
      </c>
      <c r="G416" s="151">
        <f t="shared" ref="G416:Z418" ca="1" si="213">+G403</f>
        <v>0</v>
      </c>
      <c r="H416" s="151">
        <f t="shared" ca="1" si="213"/>
        <v>0</v>
      </c>
      <c r="I416" s="151">
        <f t="shared" ca="1" si="213"/>
        <v>653578.54896604316</v>
      </c>
      <c r="J416" s="151">
        <f t="shared" ca="1" si="213"/>
        <v>406273.76826403476</v>
      </c>
      <c r="K416" s="151">
        <f t="shared" ca="1" si="213"/>
        <v>295171.99138011702</v>
      </c>
      <c r="L416" s="151">
        <f t="shared" ca="1" si="213"/>
        <v>83777.069460419501</v>
      </c>
      <c r="M416" s="151">
        <f t="shared" ca="1" si="213"/>
        <v>10796.421184126306</v>
      </c>
      <c r="N416" s="151">
        <f t="shared" ca="1" si="213"/>
        <v>-80431.739585707619</v>
      </c>
      <c r="O416" s="151">
        <f t="shared" si="213"/>
        <v>0</v>
      </c>
      <c r="P416" s="151">
        <f t="shared" si="213"/>
        <v>0</v>
      </c>
      <c r="Q416" s="151">
        <f t="shared" si="213"/>
        <v>0</v>
      </c>
      <c r="R416" s="151">
        <f t="shared" si="213"/>
        <v>0</v>
      </c>
      <c r="S416" s="151">
        <f t="shared" si="213"/>
        <v>0</v>
      </c>
      <c r="T416" s="151">
        <f t="shared" si="213"/>
        <v>0</v>
      </c>
      <c r="U416" s="151">
        <f t="shared" si="213"/>
        <v>0</v>
      </c>
      <c r="V416" s="151">
        <f t="shared" si="213"/>
        <v>0</v>
      </c>
      <c r="W416" s="151">
        <f t="shared" si="213"/>
        <v>0</v>
      </c>
      <c r="X416" s="151">
        <f t="shared" si="213"/>
        <v>0</v>
      </c>
      <c r="Y416" s="151">
        <f t="shared" si="213"/>
        <v>0</v>
      </c>
      <c r="Z416" s="151">
        <f t="shared" si="213"/>
        <v>0</v>
      </c>
    </row>
    <row r="417" spans="2:26" x14ac:dyDescent="0.35">
      <c r="B417" s="33" t="s">
        <v>650</v>
      </c>
      <c r="D417" s="48"/>
      <c r="E417" s="48"/>
      <c r="F417" s="151">
        <f ca="1">+F404</f>
        <v>0</v>
      </c>
      <c r="G417" s="151">
        <f t="shared" ca="1" si="213"/>
        <v>0</v>
      </c>
      <c r="H417" s="151">
        <f t="shared" ca="1" si="213"/>
        <v>0</v>
      </c>
      <c r="I417" s="151">
        <f t="shared" ca="1" si="213"/>
        <v>-5770924.7064398667</v>
      </c>
      <c r="J417" s="151">
        <f t="shared" ca="1" si="213"/>
        <v>3047194.9531564033</v>
      </c>
      <c r="K417" s="151">
        <f t="shared" ca="1" si="213"/>
        <v>3480773.6680041822</v>
      </c>
      <c r="L417" s="151">
        <f t="shared" ca="1" si="213"/>
        <v>4385732.7590233833</v>
      </c>
      <c r="M417" s="151">
        <f t="shared" ca="1" si="213"/>
        <v>4624966.840634143</v>
      </c>
      <c r="N417" s="151">
        <f t="shared" ca="1" si="213"/>
        <v>4944054.8059095126</v>
      </c>
      <c r="O417" s="151">
        <f t="shared" si="213"/>
        <v>0</v>
      </c>
      <c r="P417" s="151">
        <f t="shared" si="213"/>
        <v>0</v>
      </c>
      <c r="Q417" s="151">
        <f t="shared" si="213"/>
        <v>0</v>
      </c>
      <c r="R417" s="151">
        <f t="shared" si="213"/>
        <v>0</v>
      </c>
      <c r="S417" s="151">
        <f t="shared" si="213"/>
        <v>0</v>
      </c>
      <c r="T417" s="151">
        <f t="shared" si="213"/>
        <v>0</v>
      </c>
      <c r="U417" s="151">
        <f t="shared" si="213"/>
        <v>0</v>
      </c>
      <c r="V417" s="151">
        <f t="shared" si="213"/>
        <v>0</v>
      </c>
      <c r="W417" s="151">
        <f t="shared" si="213"/>
        <v>0</v>
      </c>
      <c r="X417" s="151">
        <f t="shared" si="213"/>
        <v>0</v>
      </c>
      <c r="Y417" s="151">
        <f t="shared" si="213"/>
        <v>0</v>
      </c>
      <c r="Z417" s="151">
        <f t="shared" si="213"/>
        <v>0</v>
      </c>
    </row>
    <row r="418" spans="2:26" x14ac:dyDescent="0.35">
      <c r="B418" s="33" t="s">
        <v>649</v>
      </c>
      <c r="D418" s="48"/>
      <c r="E418" s="48"/>
      <c r="F418" s="151">
        <f>-F273-F228-F159</f>
        <v>0</v>
      </c>
      <c r="G418" s="151">
        <f t="shared" si="213"/>
        <v>0</v>
      </c>
      <c r="H418" s="151">
        <f t="shared" si="213"/>
        <v>0</v>
      </c>
      <c r="I418" s="151">
        <f t="shared" ca="1" si="213"/>
        <v>24678113.534651399</v>
      </c>
      <c r="J418" s="151">
        <f t="shared" si="213"/>
        <v>0</v>
      </c>
      <c r="K418" s="151">
        <f t="shared" si="213"/>
        <v>0</v>
      </c>
      <c r="L418" s="151">
        <f t="shared" si="213"/>
        <v>0</v>
      </c>
      <c r="M418" s="151">
        <f t="shared" si="213"/>
        <v>0</v>
      </c>
      <c r="N418" s="151">
        <f t="shared" ca="1" si="213"/>
        <v>109562781.1445187</v>
      </c>
      <c r="O418" s="151">
        <f t="shared" si="213"/>
        <v>0</v>
      </c>
      <c r="P418" s="151">
        <f t="shared" si="213"/>
        <v>0</v>
      </c>
      <c r="Q418" s="151">
        <f t="shared" si="213"/>
        <v>0</v>
      </c>
      <c r="R418" s="151">
        <f t="shared" si="213"/>
        <v>0</v>
      </c>
      <c r="S418" s="151">
        <f t="shared" si="213"/>
        <v>0</v>
      </c>
      <c r="T418" s="151">
        <f t="shared" si="213"/>
        <v>0</v>
      </c>
      <c r="U418" s="151">
        <f t="shared" si="213"/>
        <v>0</v>
      </c>
      <c r="V418" s="151">
        <f t="shared" si="213"/>
        <v>0</v>
      </c>
      <c r="W418" s="151">
        <f t="shared" si="213"/>
        <v>0</v>
      </c>
      <c r="X418" s="151">
        <f t="shared" si="213"/>
        <v>0</v>
      </c>
      <c r="Y418" s="151">
        <f t="shared" si="213"/>
        <v>0</v>
      </c>
      <c r="Z418" s="151">
        <f t="shared" si="213"/>
        <v>0</v>
      </c>
    </row>
    <row r="419" spans="2:26" x14ac:dyDescent="0.35">
      <c r="B419" s="33" t="s">
        <v>421</v>
      </c>
      <c r="D419" s="48"/>
      <c r="E419" s="48"/>
      <c r="F419" s="151">
        <f>+IF(F399&gt;=10,0,F406)</f>
        <v>0</v>
      </c>
      <c r="G419" s="151">
        <f t="shared" ref="G419:Z419" si="214">+IF(G399&gt;=10,0,G406)</f>
        <v>0</v>
      </c>
      <c r="H419" s="151">
        <f t="shared" si="214"/>
        <v>0</v>
      </c>
      <c r="I419" s="151">
        <f t="shared" si="214"/>
        <v>0</v>
      </c>
      <c r="J419" s="151">
        <f t="shared" si="214"/>
        <v>0</v>
      </c>
      <c r="K419" s="151">
        <f t="shared" si="214"/>
        <v>0</v>
      </c>
      <c r="L419" s="151">
        <f t="shared" si="214"/>
        <v>0</v>
      </c>
      <c r="M419" s="151">
        <f t="shared" si="214"/>
        <v>0</v>
      </c>
      <c r="N419" s="151">
        <f t="shared" ca="1" si="214"/>
        <v>-25030416.391109765</v>
      </c>
      <c r="O419" s="151">
        <f t="shared" si="214"/>
        <v>0</v>
      </c>
      <c r="P419" s="151">
        <f t="shared" si="214"/>
        <v>0</v>
      </c>
      <c r="Q419" s="151">
        <f t="shared" si="214"/>
        <v>0</v>
      </c>
      <c r="R419" s="151">
        <f t="shared" si="214"/>
        <v>0</v>
      </c>
      <c r="S419" s="151">
        <f t="shared" si="214"/>
        <v>0</v>
      </c>
      <c r="T419" s="151">
        <f t="shared" si="214"/>
        <v>0</v>
      </c>
      <c r="U419" s="151">
        <f t="shared" si="214"/>
        <v>0</v>
      </c>
      <c r="V419" s="151">
        <f t="shared" si="214"/>
        <v>0</v>
      </c>
      <c r="W419" s="151">
        <f t="shared" si="214"/>
        <v>0</v>
      </c>
      <c r="X419" s="151">
        <f t="shared" si="214"/>
        <v>0</v>
      </c>
      <c r="Y419" s="151">
        <f t="shared" si="214"/>
        <v>0</v>
      </c>
      <c r="Z419" s="151">
        <f t="shared" si="214"/>
        <v>0</v>
      </c>
    </row>
    <row r="420" spans="2:26" x14ac:dyDescent="0.35">
      <c r="B420" s="138" t="s">
        <v>412</v>
      </c>
      <c r="C420" s="138"/>
      <c r="D420" s="139">
        <f t="shared" ref="D420" ca="1" si="215">+SUM(F420:Z420)</f>
        <v>90154192.574234411</v>
      </c>
      <c r="E420" s="139"/>
      <c r="F420" s="139">
        <f t="shared" ref="F420:Z420" ca="1" si="216">+SUM(F412:F419)</f>
        <v>-14906001.537875749</v>
      </c>
      <c r="G420" s="139">
        <f t="shared" ca="1" si="216"/>
        <v>-13755255.637228444</v>
      </c>
      <c r="H420" s="139">
        <f t="shared" ca="1" si="216"/>
        <v>0</v>
      </c>
      <c r="I420" s="139">
        <f t="shared" ca="1" si="216"/>
        <v>19560767.377177574</v>
      </c>
      <c r="J420" s="139">
        <f t="shared" ca="1" si="216"/>
        <v>-3022524.1972581679</v>
      </c>
      <c r="K420" s="139">
        <f t="shared" ca="1" si="216"/>
        <v>3775945.6593842991</v>
      </c>
      <c r="L420" s="139">
        <f t="shared" ca="1" si="216"/>
        <v>4469509.8284838032</v>
      </c>
      <c r="M420" s="139">
        <f t="shared" ca="1" si="216"/>
        <v>4635763.2618182693</v>
      </c>
      <c r="N420" s="139">
        <f t="shared" ca="1" si="216"/>
        <v>89395987.819732741</v>
      </c>
      <c r="O420" s="139">
        <f t="shared" ca="1" si="216"/>
        <v>0</v>
      </c>
      <c r="P420" s="139">
        <f t="shared" ca="1" si="216"/>
        <v>0</v>
      </c>
      <c r="Q420" s="139">
        <f t="shared" ca="1" si="216"/>
        <v>0</v>
      </c>
      <c r="R420" s="139">
        <f t="shared" ca="1" si="216"/>
        <v>0</v>
      </c>
      <c r="S420" s="139">
        <f t="shared" ca="1" si="216"/>
        <v>0</v>
      </c>
      <c r="T420" s="139">
        <f t="shared" ca="1" si="216"/>
        <v>0</v>
      </c>
      <c r="U420" s="139">
        <f t="shared" ca="1" si="216"/>
        <v>0</v>
      </c>
      <c r="V420" s="139">
        <f t="shared" ca="1" si="216"/>
        <v>0</v>
      </c>
      <c r="W420" s="139">
        <f t="shared" ca="1" si="216"/>
        <v>0</v>
      </c>
      <c r="X420" s="139">
        <f t="shared" ca="1" si="216"/>
        <v>0</v>
      </c>
      <c r="Y420" s="139">
        <f t="shared" ca="1" si="216"/>
        <v>0</v>
      </c>
      <c r="Z420" s="139">
        <f t="shared" ca="1" si="216"/>
        <v>0</v>
      </c>
    </row>
    <row r="422" spans="2:26" x14ac:dyDescent="0.35">
      <c r="B422" s="190" t="s">
        <v>645</v>
      </c>
      <c r="C422" s="190"/>
      <c r="D422" s="191">
        <f ca="1">+IRR(F420:Z420)</f>
        <v>0.26046730282786523</v>
      </c>
    </row>
    <row r="423" spans="2:26" x14ac:dyDescent="0.35">
      <c r="B423" s="194" t="s">
        <v>646</v>
      </c>
      <c r="C423" s="193"/>
      <c r="D423" s="228">
        <f ca="1">+D422/(1-Assumptions!$M$192)</f>
        <v>0.32970544661755091</v>
      </c>
    </row>
    <row r="425" spans="2:26" x14ac:dyDescent="0.35">
      <c r="B425" s="41" t="s">
        <v>425</v>
      </c>
      <c r="F425" s="151">
        <f ca="1">IFERROR(IF(YEAR(F397)&lt;=YEAR(Assumptions!$G$30),10%*(OFFSET(F413,0,-5))+5%*(OFFSET(F413,0,-7)),0),0)</f>
        <v>0</v>
      </c>
      <c r="G425" s="151">
        <f ca="1">IFERROR(IF(YEAR(G397)&lt;=YEAR(Assumptions!$G$30),10%*(OFFSET(G413,0,-5))+5%*(OFFSET(G413,0,-7)),0),0)</f>
        <v>0</v>
      </c>
      <c r="H425" s="151">
        <f ca="1">IFERROR(IF(YEAR(H397)&lt;=YEAR(Assumptions!$G$30),10%*(OFFSET(H413,0,-5))+5%*(OFFSET(H413,0,-7)),0),0)</f>
        <v>0</v>
      </c>
      <c r="I425" s="151">
        <f ca="1">IFERROR(IF(YEAR(I397)&lt;=YEAR(Assumptions!$G$30),10%*(OFFSET(I413,0,-5))+5%*(OFFSET(I413,0,-7)),0),0)</f>
        <v>0</v>
      </c>
      <c r="J425" s="151">
        <f ca="1">IFERROR(IF(YEAR(J397)&lt;=YEAR(Assumptions!$G$30),10%*(OFFSET(J413,0,-5))+5%*(OFFSET(J413,0,-7)),0),0)</f>
        <v>0</v>
      </c>
      <c r="K425" s="151">
        <f ca="1">IFERROR(IF(YEAR(K397)&lt;=YEAR(Assumptions!$G$30),10%*(OFFSET(K413,0,-5))+5%*(OFFSET(K413,0,-7)),0),0)</f>
        <v>396235.48391821608</v>
      </c>
      <c r="L425" s="151">
        <f ca="1">IFERROR(IF(YEAR(L397)&lt;=YEAR(Assumptions!$G$30),10%*(OFFSET(L413,0,-5))+5%*(OFFSET(L413,0,-7)),0),0)</f>
        <v>365646.03592632571</v>
      </c>
      <c r="M425" s="151">
        <f ca="1">IFERROR(IF(YEAR(M397)&lt;=YEAR(Assumptions!$G$30),10%*(OFFSET(M413,0,-5))+5%*(OFFSET(M413,0,-7)),0),0)</f>
        <v>198117.74195910804</v>
      </c>
      <c r="N425" s="151">
        <f ca="1">IFERROR(IF(YEAR(N397)&lt;=YEAR(Assumptions!$G$30),10%*(OFFSET(N413,0,-5))+5%*(OFFSET(N413,0,-7)),0),0)</f>
        <v>182823.01796316286</v>
      </c>
      <c r="O425" s="151">
        <f ca="1">IFERROR(IF(YEAR(O397)&lt;=YEAR(Assumptions!$G$30),10%*(OFFSET(O413,0,-5))+5%*(OFFSET(O413,0,-7)),0),0)</f>
        <v>0</v>
      </c>
      <c r="P425" s="151">
        <f ca="1">IFERROR(IF(YEAR(P397)&lt;=YEAR(Assumptions!$G$30),10%*(OFFSET(P413,0,-5))+5%*(OFFSET(P413,0,-7)),0),0)</f>
        <v>0</v>
      </c>
      <c r="Q425" s="151">
        <f ca="1">IFERROR(IF(YEAR(Q397)&lt;=YEAR(Assumptions!$G$30),10%*(OFFSET(Q413,0,-5))+5%*(OFFSET(Q413,0,-7)),0),0)</f>
        <v>0</v>
      </c>
      <c r="R425" s="151">
        <f ca="1">IFERROR(IF(YEAR(R397)&lt;=YEAR(Assumptions!$G$30),10%*(OFFSET(R413,0,-5))+5%*(OFFSET(R413,0,-7)),0),0)</f>
        <v>0</v>
      </c>
      <c r="S425" s="151">
        <f ca="1">IFERROR(IF(YEAR(S397)&lt;=YEAR(Assumptions!$G$30),10%*(OFFSET(S413,0,-5))+5%*(OFFSET(S413,0,-7)),0),0)</f>
        <v>0</v>
      </c>
      <c r="T425" s="151">
        <f ca="1">IFERROR(IF(YEAR(T397)&lt;=YEAR(Assumptions!$G$30),10%*(OFFSET(T413,0,-5))+5%*(OFFSET(T413,0,-7)),0),0)</f>
        <v>0</v>
      </c>
      <c r="U425" s="151">
        <f ca="1">IFERROR(IF(YEAR(U397)&lt;=YEAR(Assumptions!$G$30),10%*(OFFSET(U413,0,-5))+5%*(OFFSET(U413,0,-7)),0),0)</f>
        <v>0</v>
      </c>
      <c r="V425" s="151">
        <f ca="1">IFERROR(IF(YEAR(V397)&lt;=YEAR(Assumptions!$G$30),10%*(OFFSET(V413,0,-5))+5%*(OFFSET(V413,0,-7)),0),0)</f>
        <v>0</v>
      </c>
      <c r="W425" s="151">
        <f ca="1">IFERROR(IF(YEAR(W397)&lt;=YEAR(Assumptions!$G$30),10%*(OFFSET(W413,0,-5))+5%*(OFFSET(W413,0,-7)),0),0)</f>
        <v>0</v>
      </c>
      <c r="X425" s="151">
        <f ca="1">IFERROR(IF(YEAR(X397)&lt;=YEAR(Assumptions!$G$30),10%*(OFFSET(X413,0,-5))+5%*(OFFSET(X413,0,-7)),0),0)</f>
        <v>0</v>
      </c>
      <c r="Y425" s="151">
        <f ca="1">IFERROR(IF(YEAR(Y397)&lt;=YEAR(Assumptions!$G$30),10%*(OFFSET(Y413,0,-5))+5%*(OFFSET(Y413,0,-7)),0),0)</f>
        <v>0</v>
      </c>
      <c r="Z425" s="151">
        <f ca="1">IFERROR(IF(YEAR(Z397)&lt;=YEAR(Assumptions!$G$30),10%*(OFFSET(Z413,0,-5))+5%*(OFFSET(Z413,0,-7)),0),0)</f>
        <v>0</v>
      </c>
    </row>
    <row r="427" spans="2:26" x14ac:dyDescent="0.35">
      <c r="B427" s="148" t="s">
        <v>405</v>
      </c>
    </row>
    <row r="428" spans="2:26" x14ac:dyDescent="0.35">
      <c r="B428" s="33" t="s">
        <v>406</v>
      </c>
      <c r="D428" s="48">
        <f ca="1">+SUM(F428:Z428)</f>
        <v>113899412.57013945</v>
      </c>
      <c r="E428" s="48"/>
      <c r="F428" s="34">
        <v>0</v>
      </c>
      <c r="G428" s="34">
        <f ca="1">+F435</f>
        <v>18868356.37705791</v>
      </c>
      <c r="H428" s="34">
        <f t="shared" ref="H428:Z428" ca="1" si="217">+G435</f>
        <v>36280072.373549581</v>
      </c>
      <c r="I428" s="34">
        <f t="shared" ca="1" si="217"/>
        <v>36280072.37354961</v>
      </c>
      <c r="J428" s="34">
        <f t="shared" ca="1" si="217"/>
        <v>14260604.740737841</v>
      </c>
      <c r="K428" s="34">
        <f t="shared" ca="1" si="217"/>
        <v>9278772.795847971</v>
      </c>
      <c r="L428" s="34">
        <f t="shared" ca="1" si="217"/>
        <v>4392418.2165098693</v>
      </c>
      <c r="M428" s="34">
        <f t="shared" ca="1" si="217"/>
        <v>-392252.96851548087</v>
      </c>
      <c r="N428" s="34">
        <f t="shared" ca="1" si="217"/>
        <v>-5068631.3385978686</v>
      </c>
      <c r="O428" s="34">
        <f t="shared" ca="1" si="217"/>
        <v>0</v>
      </c>
      <c r="P428" s="34">
        <f t="shared" ca="1" si="217"/>
        <v>0</v>
      </c>
      <c r="Q428" s="34">
        <f t="shared" ca="1" si="217"/>
        <v>0</v>
      </c>
      <c r="R428" s="34">
        <f t="shared" ca="1" si="217"/>
        <v>0</v>
      </c>
      <c r="S428" s="34">
        <f t="shared" ca="1" si="217"/>
        <v>0</v>
      </c>
      <c r="T428" s="34">
        <f t="shared" ca="1" si="217"/>
        <v>0</v>
      </c>
      <c r="U428" s="34">
        <f t="shared" ca="1" si="217"/>
        <v>0</v>
      </c>
      <c r="V428" s="34">
        <f t="shared" ca="1" si="217"/>
        <v>0</v>
      </c>
      <c r="W428" s="34">
        <f t="shared" ca="1" si="217"/>
        <v>0</v>
      </c>
      <c r="X428" s="34">
        <f t="shared" ca="1" si="217"/>
        <v>0</v>
      </c>
      <c r="Y428" s="34">
        <f t="shared" ca="1" si="217"/>
        <v>0</v>
      </c>
      <c r="Z428" s="34">
        <f t="shared" ca="1" si="217"/>
        <v>0</v>
      </c>
    </row>
    <row r="429" spans="2:26" x14ac:dyDescent="0.35">
      <c r="B429" s="33" t="s">
        <v>404</v>
      </c>
      <c r="D429" s="48">
        <f t="shared" ref="D429:D434" ca="1" si="218">+SUM(F429:Z429)</f>
        <v>36280072.373549581</v>
      </c>
      <c r="E429" s="48"/>
      <c r="F429" s="151">
        <f ca="1">-F400</f>
        <v>18868356.37705791</v>
      </c>
      <c r="G429" s="151">
        <f t="shared" ref="G429:Z429" ca="1" si="219">-G400</f>
        <v>17411715.9964917</v>
      </c>
      <c r="H429" s="151">
        <f t="shared" ca="1" si="219"/>
        <v>0</v>
      </c>
      <c r="I429" s="151">
        <f t="shared" ca="1" si="219"/>
        <v>0</v>
      </c>
      <c r="J429" s="151">
        <f t="shared" ca="1" si="219"/>
        <v>0</v>
      </c>
      <c r="K429" s="151">
        <f t="shared" ca="1" si="219"/>
        <v>0</v>
      </c>
      <c r="L429" s="151">
        <f t="shared" ca="1" si="219"/>
        <v>0</v>
      </c>
      <c r="M429" s="151">
        <f t="shared" ca="1" si="219"/>
        <v>0</v>
      </c>
      <c r="N429" s="151">
        <f t="shared" ca="1" si="219"/>
        <v>0</v>
      </c>
      <c r="O429" s="151">
        <f t="shared" ca="1" si="219"/>
        <v>0</v>
      </c>
      <c r="P429" s="151">
        <f t="shared" ca="1" si="219"/>
        <v>0</v>
      </c>
      <c r="Q429" s="151">
        <f t="shared" ca="1" si="219"/>
        <v>0</v>
      </c>
      <c r="R429" s="151">
        <f t="shared" ca="1" si="219"/>
        <v>0</v>
      </c>
      <c r="S429" s="151">
        <f t="shared" ca="1" si="219"/>
        <v>0</v>
      </c>
      <c r="T429" s="151">
        <f t="shared" ca="1" si="219"/>
        <v>0</v>
      </c>
      <c r="U429" s="151">
        <f t="shared" ca="1" si="219"/>
        <v>0</v>
      </c>
      <c r="V429" s="151">
        <f t="shared" ca="1" si="219"/>
        <v>0</v>
      </c>
      <c r="W429" s="151">
        <f t="shared" ca="1" si="219"/>
        <v>0</v>
      </c>
      <c r="X429" s="151">
        <f t="shared" ca="1" si="219"/>
        <v>0</v>
      </c>
      <c r="Y429" s="151">
        <f t="shared" ca="1" si="219"/>
        <v>0</v>
      </c>
      <c r="Z429" s="151">
        <f t="shared" ca="1" si="219"/>
        <v>0</v>
      </c>
    </row>
    <row r="430" spans="2:26" x14ac:dyDescent="0.35">
      <c r="B430" s="33" t="s">
        <v>644</v>
      </c>
      <c r="D430" s="48">
        <f t="shared" ca="1" si="218"/>
        <v>25733734.079828937</v>
      </c>
      <c r="E430" s="48"/>
      <c r="F430" s="151">
        <f ca="1">IF(F397&lt;=Assumptions!$G$30,F390-F146-F216-F261,0)</f>
        <v>0</v>
      </c>
      <c r="G430" s="151">
        <f ca="1">IF(G397&lt;=Assumptions!$G$30,G390-G146-G216-G261,0)</f>
        <v>0</v>
      </c>
      <c r="H430" s="151">
        <f ca="1">IF(H397&lt;=Assumptions!$G$30,H390-H146-H216-H261,0)</f>
        <v>0</v>
      </c>
      <c r="I430" s="151">
        <f ca="1">IF(I397&lt;=Assumptions!$G$30,I390-I146-I216-I261,0)</f>
        <v>-3112278.8046002057</v>
      </c>
      <c r="J430" s="151">
        <f ca="1">IF(J397&lt;=Assumptions!$G$30,J390-J146-J216-J261,0)</f>
        <v>4516077.5001075612</v>
      </c>
      <c r="K430" s="151">
        <f ca="1">IF(K397&lt;=Assumptions!$G$30,K390-K146-K216-K261,0)</f>
        <v>5045133.5805071658</v>
      </c>
      <c r="L430" s="151">
        <f ca="1">IF(L397&lt;=Assumptions!$G$30,L390-L146-L216-L261,0)</f>
        <v>6051776.0658390606</v>
      </c>
      <c r="M430" s="151">
        <f ca="1">IF(M397&lt;=Assumptions!$G$30,M390-M146-M216-M261,0)</f>
        <v>6399302.9623928396</v>
      </c>
      <c r="N430" s="151">
        <f ca="1">IF(N397&lt;=Assumptions!$G$30,N390-N146-N216-N261,0)</f>
        <v>6833722.7755825249</v>
      </c>
      <c r="O430" s="151">
        <f>IF(O397&lt;=Assumptions!$G$30,O390-O146-O216-O261,0)</f>
        <v>0</v>
      </c>
      <c r="P430" s="151">
        <f>IF(P397&lt;=Assumptions!$G$30,P390-P146-P216-P261,0)</f>
        <v>0</v>
      </c>
      <c r="Q430" s="151">
        <f>IF(Q397&lt;=Assumptions!$G$30,Q390-Q146-Q216-Q261,0)</f>
        <v>0</v>
      </c>
      <c r="R430" s="151">
        <f>IF(R397&lt;=Assumptions!$G$30,R390-R146-R216-R261,0)</f>
        <v>0</v>
      </c>
      <c r="S430" s="151">
        <f>IF(S397&lt;=Assumptions!$G$30,S390-S146-S216-S261,0)</f>
        <v>0</v>
      </c>
      <c r="T430" s="151">
        <f>IF(T397&lt;=Assumptions!$G$30,T390-T146-T216-T261,0)</f>
        <v>0</v>
      </c>
      <c r="U430" s="151">
        <f>IF(U397&lt;=Assumptions!$G$30,U390-U146-U216-U261,0)</f>
        <v>0</v>
      </c>
      <c r="V430" s="151">
        <f>IF(V397&lt;=Assumptions!$G$30,V390-V146-V216-V261,0)</f>
        <v>0</v>
      </c>
      <c r="W430" s="151">
        <f>IF(W397&lt;=Assumptions!$G$30,W390-W146-W216-W261,0)</f>
        <v>0</v>
      </c>
      <c r="X430" s="151">
        <f>IF(X397&lt;=Assumptions!$G$30,X390-X146-X216-X261,0)</f>
        <v>0</v>
      </c>
      <c r="Y430" s="151">
        <f>IF(Y397&lt;=Assumptions!$G$30,Y390-Y146-Y216-Y261,0)</f>
        <v>0</v>
      </c>
      <c r="Z430" s="151">
        <f>IF(Z397&lt;=Assumptions!$G$30,Z390-Z146-Z216-Z261,0)</f>
        <v>0</v>
      </c>
    </row>
    <row r="431" spans="2:26" x14ac:dyDescent="0.35">
      <c r="B431" s="33" t="s">
        <v>416</v>
      </c>
      <c r="D431" s="48">
        <f t="shared" ca="1" si="218"/>
        <v>-32253572.459205281</v>
      </c>
      <c r="E431" s="48"/>
      <c r="F431" s="151">
        <f>+F391</f>
        <v>0</v>
      </c>
      <c r="G431" s="151">
        <f t="shared" ref="G431:Z431" si="220">+G391</f>
        <v>0</v>
      </c>
      <c r="H431" s="151">
        <f t="shared" si="220"/>
        <v>0</v>
      </c>
      <c r="I431" s="151">
        <f t="shared" si="220"/>
        <v>0</v>
      </c>
      <c r="J431" s="151">
        <f t="shared" ca="1" si="220"/>
        <v>-6450714.4918410564</v>
      </c>
      <c r="K431" s="151">
        <f t="shared" ca="1" si="220"/>
        <v>-6450714.4918410564</v>
      </c>
      <c r="L431" s="151">
        <f t="shared" ca="1" si="220"/>
        <v>-6450714.4918410564</v>
      </c>
      <c r="M431" s="151">
        <f t="shared" ca="1" si="220"/>
        <v>-6450714.4918410564</v>
      </c>
      <c r="N431" s="151">
        <f t="shared" ca="1" si="220"/>
        <v>-6450714.4918410564</v>
      </c>
      <c r="O431" s="151">
        <f t="shared" si="220"/>
        <v>0</v>
      </c>
      <c r="P431" s="151">
        <f t="shared" si="220"/>
        <v>0</v>
      </c>
      <c r="Q431" s="151">
        <f t="shared" si="220"/>
        <v>0</v>
      </c>
      <c r="R431" s="151">
        <f t="shared" si="220"/>
        <v>0</v>
      </c>
      <c r="S431" s="151">
        <f t="shared" si="220"/>
        <v>0</v>
      </c>
      <c r="T431" s="151">
        <f t="shared" si="220"/>
        <v>0</v>
      </c>
      <c r="U431" s="151">
        <f t="shared" si="220"/>
        <v>0</v>
      </c>
      <c r="V431" s="151">
        <f t="shared" si="220"/>
        <v>0</v>
      </c>
      <c r="W431" s="151">
        <f t="shared" si="220"/>
        <v>0</v>
      </c>
      <c r="X431" s="151">
        <f t="shared" si="220"/>
        <v>0</v>
      </c>
      <c r="Y431" s="151">
        <f t="shared" si="220"/>
        <v>0</v>
      </c>
      <c r="Z431" s="151">
        <f t="shared" si="220"/>
        <v>0</v>
      </c>
    </row>
    <row r="432" spans="2:26" x14ac:dyDescent="0.35">
      <c r="B432" s="33" t="s">
        <v>650</v>
      </c>
      <c r="D432" s="48">
        <f t="shared" ca="1" si="218"/>
        <v>-14711798.320287745</v>
      </c>
      <c r="E432" s="48"/>
      <c r="F432" s="151">
        <f ca="1">-F404</f>
        <v>0</v>
      </c>
      <c r="G432" s="151">
        <f t="shared" ref="G432:Z432" ca="1" si="221">-G404</f>
        <v>0</v>
      </c>
      <c r="H432" s="151">
        <f t="shared" ca="1" si="221"/>
        <v>0</v>
      </c>
      <c r="I432" s="151">
        <f t="shared" ca="1" si="221"/>
        <v>5770924.7064398667</v>
      </c>
      <c r="J432" s="151">
        <f t="shared" ca="1" si="221"/>
        <v>-3047194.9531564033</v>
      </c>
      <c r="K432" s="151">
        <f t="shared" ca="1" si="221"/>
        <v>-3480773.6680041822</v>
      </c>
      <c r="L432" s="151">
        <f t="shared" ca="1" si="221"/>
        <v>-4385732.7590233833</v>
      </c>
      <c r="M432" s="151">
        <f t="shared" ca="1" si="221"/>
        <v>-4624966.840634143</v>
      </c>
      <c r="N432" s="151">
        <f t="shared" ca="1" si="221"/>
        <v>-4944054.8059095126</v>
      </c>
      <c r="O432" s="151">
        <f t="shared" si="221"/>
        <v>0</v>
      </c>
      <c r="P432" s="151">
        <f t="shared" si="221"/>
        <v>0</v>
      </c>
      <c r="Q432" s="151">
        <f t="shared" si="221"/>
        <v>0</v>
      </c>
      <c r="R432" s="151">
        <f t="shared" si="221"/>
        <v>0</v>
      </c>
      <c r="S432" s="151">
        <f t="shared" si="221"/>
        <v>0</v>
      </c>
      <c r="T432" s="151">
        <f t="shared" si="221"/>
        <v>0</v>
      </c>
      <c r="U432" s="151">
        <f t="shared" si="221"/>
        <v>0</v>
      </c>
      <c r="V432" s="151">
        <f t="shared" si="221"/>
        <v>0</v>
      </c>
      <c r="W432" s="151">
        <f t="shared" si="221"/>
        <v>0</v>
      </c>
      <c r="X432" s="151">
        <f t="shared" si="221"/>
        <v>0</v>
      </c>
      <c r="Y432" s="151">
        <f t="shared" si="221"/>
        <v>0</v>
      </c>
      <c r="Z432" s="151">
        <f t="shared" si="221"/>
        <v>0</v>
      </c>
    </row>
    <row r="433" spans="2:26" x14ac:dyDescent="0.35">
      <c r="B433" s="33" t="s">
        <v>647</v>
      </c>
      <c r="D433" s="48">
        <f t="shared" ca="1" si="218"/>
        <v>-134240894.6791701</v>
      </c>
      <c r="E433" s="48"/>
      <c r="F433" s="151">
        <f>-F273-F228-F159</f>
        <v>0</v>
      </c>
      <c r="G433" s="151">
        <f t="shared" ref="G433:Z433" si="222">-G273-G228-G159</f>
        <v>0</v>
      </c>
      <c r="H433" s="151">
        <f t="shared" si="222"/>
        <v>0</v>
      </c>
      <c r="I433" s="151">
        <f t="shared" ca="1" si="222"/>
        <v>-24678113.534651399</v>
      </c>
      <c r="J433" s="151">
        <f t="shared" si="222"/>
        <v>0</v>
      </c>
      <c r="K433" s="151">
        <f t="shared" si="222"/>
        <v>0</v>
      </c>
      <c r="L433" s="151">
        <f t="shared" si="222"/>
        <v>0</v>
      </c>
      <c r="M433" s="151">
        <f t="shared" si="222"/>
        <v>0</v>
      </c>
      <c r="N433" s="151">
        <f t="shared" ca="1" si="222"/>
        <v>-109562781.14451879</v>
      </c>
      <c r="O433" s="151">
        <f t="shared" si="222"/>
        <v>0</v>
      </c>
      <c r="P433" s="151">
        <f t="shared" si="222"/>
        <v>0</v>
      </c>
      <c r="Q433" s="151">
        <f t="shared" si="222"/>
        <v>0</v>
      </c>
      <c r="R433" s="151">
        <f t="shared" si="222"/>
        <v>0</v>
      </c>
      <c r="S433" s="151">
        <f t="shared" si="222"/>
        <v>0</v>
      </c>
      <c r="T433" s="151">
        <f t="shared" si="222"/>
        <v>0</v>
      </c>
      <c r="U433" s="151">
        <f t="shared" si="222"/>
        <v>0</v>
      </c>
      <c r="V433" s="151">
        <f t="shared" si="222"/>
        <v>0</v>
      </c>
      <c r="W433" s="151">
        <f t="shared" si="222"/>
        <v>0</v>
      </c>
      <c r="X433" s="151">
        <f t="shared" si="222"/>
        <v>0</v>
      </c>
      <c r="Y433" s="151">
        <f t="shared" si="222"/>
        <v>0</v>
      </c>
      <c r="Z433" s="151">
        <f t="shared" si="222"/>
        <v>0</v>
      </c>
    </row>
    <row r="434" spans="2:26" x14ac:dyDescent="0.35">
      <c r="B434" s="33" t="s">
        <v>420</v>
      </c>
      <c r="D434" s="48">
        <f t="shared" ca="1" si="218"/>
        <v>119192459.00528459</v>
      </c>
      <c r="E434" s="48"/>
      <c r="F434" s="151">
        <f>-IF(YEAR(F397)=YEAR(Assumptions!$G$30),SUM(F428:F433),0)</f>
        <v>0</v>
      </c>
      <c r="G434" s="151">
        <f>-IF(YEAR(G397)=YEAR(Assumptions!$G$30),SUM(G428:G433),0)</f>
        <v>0</v>
      </c>
      <c r="H434" s="151">
        <f>-IF(YEAR(H397)=YEAR(Assumptions!$G$30),SUM(H428:H433),0)</f>
        <v>0</v>
      </c>
      <c r="I434" s="151">
        <f>-IF(YEAR(I397)=YEAR(Assumptions!$G$30),SUM(I428:I433),0)</f>
        <v>0</v>
      </c>
      <c r="J434" s="151">
        <f>-IF(YEAR(J397)=YEAR(Assumptions!$G$30),SUM(J428:J433),0)</f>
        <v>0</v>
      </c>
      <c r="K434" s="151">
        <f>-IF(YEAR(K397)=YEAR(Assumptions!$G$30),SUM(K428:K433),0)</f>
        <v>0</v>
      </c>
      <c r="L434" s="151">
        <f>-IF(YEAR(L397)=YEAR(Assumptions!$G$30),SUM(L428:L433),0)</f>
        <v>0</v>
      </c>
      <c r="M434" s="151">
        <f>-IF(YEAR(M397)=YEAR(Assumptions!$G$30),SUM(M428:M433),0)</f>
        <v>0</v>
      </c>
      <c r="N434" s="151">
        <f ca="1">-IF(YEAR(N397)=YEAR(Assumptions!$G$30),SUM(N428:N433),0)</f>
        <v>119192459.0052847</v>
      </c>
      <c r="O434" s="151">
        <f>-IF(YEAR(O397)=YEAR(Assumptions!$G$30),SUM(O428:O433),0)</f>
        <v>0</v>
      </c>
      <c r="P434" s="151">
        <f>-IF(YEAR(P397)=YEAR(Assumptions!$G$30),SUM(P428:P433),0)</f>
        <v>0</v>
      </c>
      <c r="Q434" s="151">
        <f>-IF(YEAR(Q397)=YEAR(Assumptions!$G$30),SUM(Q428:Q433),0)</f>
        <v>0</v>
      </c>
      <c r="R434" s="151">
        <f>-IF(YEAR(R397)=YEAR(Assumptions!$G$30),SUM(R428:R433),0)</f>
        <v>0</v>
      </c>
      <c r="S434" s="151">
        <f>-IF(YEAR(S397)=YEAR(Assumptions!$G$30),SUM(S428:S433),0)</f>
        <v>0</v>
      </c>
      <c r="T434" s="151">
        <f>-IF(YEAR(T397)=YEAR(Assumptions!$G$30),SUM(T428:T433),0)</f>
        <v>0</v>
      </c>
      <c r="U434" s="151">
        <f>-IF(YEAR(U397)=YEAR(Assumptions!$G$30),SUM(U428:U433),0)</f>
        <v>0</v>
      </c>
      <c r="V434" s="151">
        <f>-IF(YEAR(V397)=YEAR(Assumptions!$G$30),SUM(V428:V433),0)</f>
        <v>0</v>
      </c>
      <c r="W434" s="151">
        <f>-IF(YEAR(W397)=YEAR(Assumptions!$G$30),SUM(W428:W433),0)</f>
        <v>0</v>
      </c>
      <c r="X434" s="151">
        <f>-IF(YEAR(X397)=YEAR(Assumptions!$G$30),SUM(X428:X433),0)</f>
        <v>0</v>
      </c>
      <c r="Y434" s="151">
        <f>-IF(YEAR(Y397)=YEAR(Assumptions!$G$30),SUM(Y428:Y433),0)</f>
        <v>0</v>
      </c>
      <c r="Z434" s="151">
        <f>-IF(YEAR(Z397)=YEAR(Assumptions!$G$30),SUM(Z428:Z433),0)</f>
        <v>0</v>
      </c>
    </row>
    <row r="435" spans="2:26" x14ac:dyDescent="0.35">
      <c r="B435" s="137" t="s">
        <v>408</v>
      </c>
      <c r="C435" s="137"/>
      <c r="D435" s="36">
        <f t="shared" ref="D435" ca="1" si="223">+SUM(F435:Z435)</f>
        <v>113899412.57013942</v>
      </c>
      <c r="E435" s="129"/>
      <c r="F435" s="129">
        <f ca="1">+SUM(F428:F434)</f>
        <v>18868356.37705791</v>
      </c>
      <c r="G435" s="129">
        <f t="shared" ref="G435:Z435" ca="1" si="224">+SUM(G428:G434)</f>
        <v>36280072.37354961</v>
      </c>
      <c r="H435" s="129">
        <f t="shared" ca="1" si="224"/>
        <v>36280072.373549581</v>
      </c>
      <c r="I435" s="129">
        <f t="shared" ca="1" si="224"/>
        <v>14260604.74073787</v>
      </c>
      <c r="J435" s="129">
        <f t="shared" ca="1" si="224"/>
        <v>9278772.7958479412</v>
      </c>
      <c r="K435" s="129">
        <f t="shared" ca="1" si="224"/>
        <v>4392418.2165098991</v>
      </c>
      <c r="L435" s="129">
        <f t="shared" ca="1" si="224"/>
        <v>-392252.96851550881</v>
      </c>
      <c r="M435" s="129">
        <f t="shared" ca="1" si="224"/>
        <v>-5068631.3385978406</v>
      </c>
      <c r="N435" s="129">
        <f t="shared" ca="1" si="224"/>
        <v>0</v>
      </c>
      <c r="O435" s="129">
        <f t="shared" ca="1" si="224"/>
        <v>0</v>
      </c>
      <c r="P435" s="129">
        <f t="shared" ca="1" si="224"/>
        <v>0</v>
      </c>
      <c r="Q435" s="129">
        <f t="shared" ca="1" si="224"/>
        <v>0</v>
      </c>
      <c r="R435" s="129">
        <f t="shared" ca="1" si="224"/>
        <v>0</v>
      </c>
      <c r="S435" s="129">
        <f t="shared" ca="1" si="224"/>
        <v>0</v>
      </c>
      <c r="T435" s="129">
        <f t="shared" ca="1" si="224"/>
        <v>0</v>
      </c>
      <c r="U435" s="129">
        <f t="shared" ca="1" si="224"/>
        <v>0</v>
      </c>
      <c r="V435" s="129">
        <f t="shared" ca="1" si="224"/>
        <v>0</v>
      </c>
      <c r="W435" s="129">
        <f t="shared" ca="1" si="224"/>
        <v>0</v>
      </c>
      <c r="X435" s="129">
        <f t="shared" ca="1" si="224"/>
        <v>0</v>
      </c>
      <c r="Y435" s="129">
        <f t="shared" ca="1" si="224"/>
        <v>0</v>
      </c>
      <c r="Z435" s="129">
        <f t="shared" ca="1" si="224"/>
        <v>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2:Z435"/>
  <sheetViews>
    <sheetView showGridLines="0" zoomScale="55" zoomScaleNormal="55" workbookViewId="0">
      <selection activeCell="R27" sqref="R27"/>
    </sheetView>
  </sheetViews>
  <sheetFormatPr defaultColWidth="14.453125" defaultRowHeight="15.5" x14ac:dyDescent="0.35"/>
  <cols>
    <col min="1" max="1" width="8.453125" style="41" customWidth="1"/>
    <col min="2" max="3" width="14.453125" style="41"/>
    <col min="4" max="4" width="16.453125" style="41" bestFit="1" customWidth="1"/>
    <col min="5" max="5" width="14.81640625" style="41" customWidth="1"/>
    <col min="6" max="6" width="14.453125" style="41"/>
    <col min="7" max="7" width="16.453125" style="41" customWidth="1"/>
    <col min="8" max="8" width="15.453125" style="41" customWidth="1"/>
    <col min="9" max="16384" width="14.453125" style="41"/>
  </cols>
  <sheetData>
    <row r="2" spans="1:26" x14ac:dyDescent="0.35">
      <c r="B2" s="146" t="s">
        <v>261</v>
      </c>
      <c r="E2" s="146">
        <v>0</v>
      </c>
      <c r="F2" s="147">
        <f>+IF(F7&gt;=Assumptions!$H$26,'Phase III Pro Forma'!E2+1,'Phase III Pro Forma'!E2)</f>
        <v>0</v>
      </c>
      <c r="G2" s="147">
        <f>+IF(G7&gt;=Assumptions!$H$26,'Phase III Pro Forma'!F2+1,'Phase III Pro Forma'!F2)</f>
        <v>0</v>
      </c>
      <c r="H2" s="147">
        <f>+IF(H7&gt;=Assumptions!$H$26,'Phase III Pro Forma'!G2+1,'Phase III Pro Forma'!G2)</f>
        <v>0</v>
      </c>
      <c r="I2" s="147">
        <f>+IF(I7&gt;=Assumptions!$H$26,'Phase III Pro Forma'!H2+1,'Phase III Pro Forma'!H2)</f>
        <v>1</v>
      </c>
      <c r="J2" s="147">
        <f>+IF(J7&gt;=Assumptions!$H$26,'Phase III Pro Forma'!I2+1,'Phase III Pro Forma'!I2)</f>
        <v>2</v>
      </c>
      <c r="K2" s="147">
        <f>+IF(K7&gt;=Assumptions!$H$26,'Phase III Pro Forma'!J2+1,'Phase III Pro Forma'!J2)</f>
        <v>3</v>
      </c>
      <c r="L2" s="147">
        <f>+IF(L7&gt;=Assumptions!$H$26,'Phase III Pro Forma'!K2+1,'Phase III Pro Forma'!K2)</f>
        <v>4</v>
      </c>
      <c r="M2" s="147">
        <f>+IF(M7&gt;=Assumptions!$H$26,'Phase III Pro Forma'!L2+1,'Phase III Pro Forma'!L2)</f>
        <v>5</v>
      </c>
      <c r="N2" s="147">
        <f>+IF(N7&gt;=Assumptions!$H$26,'Phase III Pro Forma'!M2+1,'Phase III Pro Forma'!M2)</f>
        <v>6</v>
      </c>
      <c r="O2" s="147">
        <f>+IF(O7&gt;=Assumptions!$H$26,'Phase III Pro Forma'!N2+1,'Phase III Pro Forma'!N2)</f>
        <v>7</v>
      </c>
      <c r="P2" s="147">
        <f>+IF(P7&gt;=Assumptions!$H$26,'Phase III Pro Forma'!O2+1,'Phase III Pro Forma'!O2)</f>
        <v>8</v>
      </c>
      <c r="Q2" s="147">
        <f>+IF(Q7&gt;=Assumptions!$H$26,'Phase III Pro Forma'!P2+1,'Phase III Pro Forma'!P2)</f>
        <v>9</v>
      </c>
      <c r="R2" s="147">
        <f>+IF(R7&gt;=Assumptions!$H$26,'Phase III Pro Forma'!Q2+1,'Phase III Pro Forma'!Q2)</f>
        <v>10</v>
      </c>
      <c r="S2" s="147">
        <f>+IF(S7&gt;=Assumptions!$H$26,'Phase III Pro Forma'!R2+1,'Phase III Pro Forma'!R2)</f>
        <v>11</v>
      </c>
      <c r="T2" s="147">
        <f>+IF(T7&gt;=Assumptions!$H$26,'Phase III Pro Forma'!S2+1,'Phase III Pro Forma'!S2)</f>
        <v>12</v>
      </c>
      <c r="U2" s="147">
        <f>+IF(U7&gt;=Assumptions!$H$26,'Phase III Pro Forma'!T2+1,'Phase III Pro Forma'!T2)</f>
        <v>13</v>
      </c>
      <c r="V2" s="147">
        <f>+IF(V7&gt;=Assumptions!$H$26,'Phase III Pro Forma'!U2+1,'Phase III Pro Forma'!U2)</f>
        <v>14</v>
      </c>
      <c r="W2" s="147">
        <f>+IF(W7&gt;=Assumptions!$H$26,'Phase III Pro Forma'!V2+1,'Phase III Pro Forma'!V2)</f>
        <v>15</v>
      </c>
      <c r="X2" s="147">
        <f>+IF(X7&gt;=Assumptions!$H$26,'Phase III Pro Forma'!W2+1,'Phase III Pro Forma'!W2)</f>
        <v>16</v>
      </c>
      <c r="Y2" s="147">
        <f>+IF(Y7&gt;=Assumptions!$H$26,'Phase III Pro Forma'!X2+1,'Phase III Pro Forma'!X2)</f>
        <v>17</v>
      </c>
      <c r="Z2" s="147">
        <f>+IF(Z7&gt;=Assumptions!$H$26,'Phase III Pro Forma'!Y2+1,'Phase III Pro Forma'!Y2)</f>
        <v>18</v>
      </c>
    </row>
    <row r="3" spans="1:26" x14ac:dyDescent="0.35">
      <c r="B3" s="146" t="s">
        <v>282</v>
      </c>
      <c r="F3" s="147">
        <f>+IF(F7&gt;=Assumptions!$H$28,'Phase III Pro Forma'!E3+1,'Phase III Pro Forma'!E3)</f>
        <v>0</v>
      </c>
      <c r="G3" s="147">
        <f>+IF(G7&gt;=Assumptions!$H$28,'Phase III Pro Forma'!F3+1,'Phase III Pro Forma'!F3)</f>
        <v>0</v>
      </c>
      <c r="H3" s="147">
        <f>+IF(H7&gt;=Assumptions!$H$28,'Phase III Pro Forma'!G3+1,'Phase III Pro Forma'!G3)</f>
        <v>0</v>
      </c>
      <c r="I3" s="147">
        <f>+IF(I7&gt;=Assumptions!$H$28,'Phase III Pro Forma'!H3+1,'Phase III Pro Forma'!H3)</f>
        <v>0</v>
      </c>
      <c r="J3" s="147">
        <f>+IF(J7&gt;=Assumptions!$H$28,'Phase III Pro Forma'!I3+1,'Phase III Pro Forma'!I3)</f>
        <v>0</v>
      </c>
      <c r="K3" s="147">
        <f>+IF(K7&gt;=Assumptions!$H$28,'Phase III Pro Forma'!J3+1,'Phase III Pro Forma'!J3)</f>
        <v>1</v>
      </c>
      <c r="L3" s="147">
        <f>+IF(L7&gt;=Assumptions!$H$28,'Phase III Pro Forma'!K3+1,'Phase III Pro Forma'!K3)</f>
        <v>2</v>
      </c>
      <c r="M3" s="147">
        <f>+IF(M7&gt;=Assumptions!$H$28,'Phase III Pro Forma'!L3+1,'Phase III Pro Forma'!L3)</f>
        <v>3</v>
      </c>
      <c r="N3" s="147">
        <f>+IF(N7&gt;=Assumptions!$H$28,'Phase III Pro Forma'!M3+1,'Phase III Pro Forma'!M3)</f>
        <v>4</v>
      </c>
      <c r="O3" s="147">
        <f>+IF(O7&gt;=Assumptions!$H$28,'Phase III Pro Forma'!N3+1,'Phase III Pro Forma'!N3)</f>
        <v>5</v>
      </c>
      <c r="P3" s="147">
        <f>+IF(P7&gt;=Assumptions!$H$28,'Phase III Pro Forma'!O3+1,'Phase III Pro Forma'!O3)</f>
        <v>6</v>
      </c>
      <c r="Q3" s="147">
        <f>+IF(Q7&gt;=Assumptions!$H$28,'Phase III Pro Forma'!P3+1,'Phase III Pro Forma'!P3)</f>
        <v>7</v>
      </c>
      <c r="R3" s="147">
        <f>+IF(R7&gt;=Assumptions!$H$28,'Phase III Pro Forma'!Q3+1,'Phase III Pro Forma'!Q3)</f>
        <v>8</v>
      </c>
      <c r="S3" s="147">
        <f>+IF(S7&gt;=Assumptions!$H$28,'Phase III Pro Forma'!R3+1,'Phase III Pro Forma'!R3)</f>
        <v>9</v>
      </c>
      <c r="T3" s="147">
        <f>+IF(T7&gt;=Assumptions!$H$28,'Phase III Pro Forma'!S3+1,'Phase III Pro Forma'!S3)</f>
        <v>10</v>
      </c>
      <c r="U3" s="147">
        <f>+IF(U7&gt;=Assumptions!$H$28,'Phase III Pro Forma'!T3+1,'Phase III Pro Forma'!T3)</f>
        <v>11</v>
      </c>
      <c r="V3" s="147">
        <f>+IF(V7&gt;=Assumptions!$H$28,'Phase III Pro Forma'!U3+1,'Phase III Pro Forma'!U3)</f>
        <v>12</v>
      </c>
      <c r="W3" s="147">
        <f>+IF(W7&gt;=Assumptions!$H$28,'Phase III Pro Forma'!V3+1,'Phase III Pro Forma'!V3)</f>
        <v>13</v>
      </c>
      <c r="X3" s="147">
        <f>+IF(X7&gt;=Assumptions!$H$28,'Phase III Pro Forma'!W3+1,'Phase III Pro Forma'!W3)</f>
        <v>14</v>
      </c>
      <c r="Y3" s="147">
        <f>+IF(Y7&gt;=Assumptions!$H$28,'Phase III Pro Forma'!X3+1,'Phase III Pro Forma'!X3)</f>
        <v>15</v>
      </c>
      <c r="Z3" s="147">
        <f>+IF(Z7&gt;=Assumptions!$H$28,'Phase III Pro Forma'!Y3+1,'Phase III Pro Forma'!Y3)</f>
        <v>16</v>
      </c>
    </row>
    <row r="4" spans="1:26" x14ac:dyDescent="0.35">
      <c r="F4" s="42"/>
      <c r="G4" s="42"/>
      <c r="H4" s="42"/>
      <c r="I4" s="42"/>
      <c r="J4" s="42"/>
      <c r="K4" s="42"/>
      <c r="L4" s="42"/>
      <c r="M4" s="42"/>
      <c r="N4" s="42"/>
    </row>
    <row r="5" spans="1:26" x14ac:dyDescent="0.35">
      <c r="B5" s="37" t="s">
        <v>777</v>
      </c>
      <c r="C5" s="38"/>
      <c r="D5" s="38"/>
      <c r="E5" s="38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spans="1:26" x14ac:dyDescent="0.35">
      <c r="B6" s="119"/>
      <c r="F6" s="229">
        <f>+YEAR(F7)</f>
        <v>2024</v>
      </c>
      <c r="G6" s="229">
        <f t="shared" ref="G6:Z6" si="0">+YEAR(G7)</f>
        <v>2025</v>
      </c>
      <c r="H6" s="229">
        <f t="shared" si="0"/>
        <v>2026</v>
      </c>
      <c r="I6" s="229">
        <f t="shared" si="0"/>
        <v>2027</v>
      </c>
      <c r="J6" s="229">
        <f t="shared" si="0"/>
        <v>2028</v>
      </c>
      <c r="K6" s="229">
        <f t="shared" si="0"/>
        <v>2029</v>
      </c>
      <c r="L6" s="229">
        <f t="shared" si="0"/>
        <v>2030</v>
      </c>
      <c r="M6" s="229">
        <f t="shared" si="0"/>
        <v>2031</v>
      </c>
      <c r="N6" s="229">
        <f t="shared" si="0"/>
        <v>2032</v>
      </c>
      <c r="O6" s="229">
        <f t="shared" si="0"/>
        <v>2033</v>
      </c>
      <c r="P6" s="229">
        <f t="shared" si="0"/>
        <v>2034</v>
      </c>
      <c r="Q6" s="229">
        <f t="shared" si="0"/>
        <v>2035</v>
      </c>
      <c r="R6" s="229">
        <f t="shared" si="0"/>
        <v>2036</v>
      </c>
      <c r="S6" s="229">
        <f t="shared" si="0"/>
        <v>2037</v>
      </c>
      <c r="T6" s="229">
        <f t="shared" si="0"/>
        <v>2038</v>
      </c>
      <c r="U6" s="229">
        <f t="shared" si="0"/>
        <v>2039</v>
      </c>
      <c r="V6" s="229">
        <f t="shared" si="0"/>
        <v>2040</v>
      </c>
      <c r="W6" s="229">
        <f t="shared" si="0"/>
        <v>2041</v>
      </c>
      <c r="X6" s="229">
        <f t="shared" si="0"/>
        <v>2042</v>
      </c>
      <c r="Y6" s="229">
        <f t="shared" si="0"/>
        <v>2043</v>
      </c>
      <c r="Z6" s="229">
        <f t="shared" si="0"/>
        <v>2044</v>
      </c>
    </row>
    <row r="7" spans="1:26" x14ac:dyDescent="0.35">
      <c r="B7" s="148" t="s">
        <v>143</v>
      </c>
      <c r="C7" s="149"/>
      <c r="D7" s="149"/>
      <c r="E7" s="149"/>
      <c r="F7" s="150">
        <f>+Assumptions!$H$22</f>
        <v>45657</v>
      </c>
      <c r="G7" s="150">
        <f>+EOMONTH(F7,12)</f>
        <v>46022</v>
      </c>
      <c r="H7" s="150">
        <f t="shared" ref="H7:Z7" si="1">+EOMONTH(G7,12)</f>
        <v>46387</v>
      </c>
      <c r="I7" s="150">
        <f t="shared" si="1"/>
        <v>46752</v>
      </c>
      <c r="J7" s="150">
        <f t="shared" si="1"/>
        <v>47118</v>
      </c>
      <c r="K7" s="150">
        <f t="shared" si="1"/>
        <v>47483</v>
      </c>
      <c r="L7" s="150">
        <f t="shared" si="1"/>
        <v>47848</v>
      </c>
      <c r="M7" s="150">
        <f t="shared" si="1"/>
        <v>48213</v>
      </c>
      <c r="N7" s="150">
        <f t="shared" si="1"/>
        <v>48579</v>
      </c>
      <c r="O7" s="150">
        <f t="shared" si="1"/>
        <v>48944</v>
      </c>
      <c r="P7" s="150">
        <f t="shared" si="1"/>
        <v>49309</v>
      </c>
      <c r="Q7" s="150">
        <f t="shared" si="1"/>
        <v>49674</v>
      </c>
      <c r="R7" s="150">
        <f t="shared" si="1"/>
        <v>50040</v>
      </c>
      <c r="S7" s="150">
        <f t="shared" si="1"/>
        <v>50405</v>
      </c>
      <c r="T7" s="150">
        <f t="shared" si="1"/>
        <v>50770</v>
      </c>
      <c r="U7" s="150">
        <f t="shared" si="1"/>
        <v>51135</v>
      </c>
      <c r="V7" s="150">
        <f t="shared" si="1"/>
        <v>51501</v>
      </c>
      <c r="W7" s="150">
        <f t="shared" si="1"/>
        <v>51866</v>
      </c>
      <c r="X7" s="150">
        <f t="shared" si="1"/>
        <v>52231</v>
      </c>
      <c r="Y7" s="150">
        <f t="shared" si="1"/>
        <v>52596</v>
      </c>
      <c r="Z7" s="150">
        <f t="shared" si="1"/>
        <v>52962</v>
      </c>
    </row>
    <row r="8" spans="1:26" x14ac:dyDescent="0.35">
      <c r="A8" s="140" t="b">
        <f>+SUM(F8:Z8)=Assumptions!$F$55</f>
        <v>0</v>
      </c>
      <c r="B8" s="33" t="s">
        <v>766</v>
      </c>
      <c r="C8" s="33"/>
      <c r="D8" s="40"/>
      <c r="E8" s="40"/>
      <c r="F8" s="42">
        <f>+IF(AND(F7&gt;=Assumptions!$H$26,F7&lt;Assumptions!$H$28),Assumptions!$H$55/ROUNDUP((Assumptions!$H$27/12),0),0)</f>
        <v>0</v>
      </c>
      <c r="G8" s="42">
        <f>+IF(AND(G7&gt;=Assumptions!$H$26,G7&lt;Assumptions!$H$28),Assumptions!$H$55/ROUNDUP((Assumptions!$H$27/12),0),0)</f>
        <v>0</v>
      </c>
      <c r="H8" s="42">
        <f>+IF(AND(H7&gt;=Assumptions!$H$26,H7&lt;Assumptions!$H$28),Assumptions!$H$55/ROUNDUP((Assumptions!$H$27/12),0),0)</f>
        <v>0</v>
      </c>
      <c r="I8" s="42">
        <f>+IF(AND(I7&gt;=Assumptions!$H$26,I7&lt;Assumptions!$H$28),Assumptions!$H$55/ROUNDUP((Assumptions!$H$27/12),0),0)</f>
        <v>45681.178363205021</v>
      </c>
      <c r="J8" s="42">
        <f>+IF(AND(J7&gt;=Assumptions!$H$26,J7&lt;Assumptions!$H$28),Assumptions!$H$55/ROUNDUP((Assumptions!$H$27/12),0),0)</f>
        <v>45681.178363205021</v>
      </c>
      <c r="K8" s="42">
        <f>+IF(AND(K7&gt;=Assumptions!$H$26,K7&lt;Assumptions!$H$28),Assumptions!$H$55/ROUNDUP((Assumptions!$H$27/12),0),0)</f>
        <v>0</v>
      </c>
      <c r="L8" s="42">
        <f>+IF(AND(L7&gt;=Assumptions!$H$26,L7&lt;Assumptions!$H$28),Assumptions!$H$55/ROUNDUP((Assumptions!$H$27/12),0),0)</f>
        <v>0</v>
      </c>
      <c r="M8" s="42">
        <f>+IF(AND(M7&gt;=Assumptions!$H$26,M7&lt;Assumptions!$H$28),Assumptions!$H$55/ROUNDUP((Assumptions!$H$27/12),0),0)</f>
        <v>0</v>
      </c>
      <c r="N8" s="42">
        <f>+IF(AND(N7&gt;=Assumptions!$H$26,N7&lt;Assumptions!$H$28),Assumptions!$H$55/ROUNDUP((Assumptions!$H$27/12),0),0)</f>
        <v>0</v>
      </c>
      <c r="O8" s="42">
        <f>+IF(AND(O7&gt;=Assumptions!$H$26,O7&lt;Assumptions!$H$28),Assumptions!$H$55/ROUNDUP((Assumptions!$H$27/12),0),0)</f>
        <v>0</v>
      </c>
      <c r="P8" s="42">
        <f>+IF(AND(P7&gt;=Assumptions!$H$26,P7&lt;Assumptions!$H$28),Assumptions!$H$55/ROUNDUP((Assumptions!$H$27/12),0),0)</f>
        <v>0</v>
      </c>
      <c r="Q8" s="42">
        <f>+IF(AND(Q7&gt;=Assumptions!$H$26,Q7&lt;Assumptions!$H$28),Assumptions!$H$55/ROUNDUP((Assumptions!$H$27/12),0),0)</f>
        <v>0</v>
      </c>
      <c r="R8" s="42">
        <f>+IF(AND(R7&gt;=Assumptions!$H$26,R7&lt;Assumptions!$H$28),Assumptions!$H$55/ROUNDUP((Assumptions!$H$27/12),0),0)</f>
        <v>0</v>
      </c>
      <c r="S8" s="42">
        <f>+IF(AND(S7&gt;=Assumptions!$H$26,S7&lt;Assumptions!$H$28),Assumptions!$H$55/ROUNDUP((Assumptions!$H$27/12),0),0)</f>
        <v>0</v>
      </c>
      <c r="T8" s="42">
        <f>+IF(AND(T7&gt;=Assumptions!$H$26,T7&lt;Assumptions!$H$28),Assumptions!$H$55/ROUNDUP((Assumptions!$H$27/12),0),0)</f>
        <v>0</v>
      </c>
      <c r="U8" s="42">
        <f>+IF(AND(U7&gt;=Assumptions!$H$26,U7&lt;Assumptions!$H$28),Assumptions!$H$55/ROUNDUP((Assumptions!$H$27/12),0),0)</f>
        <v>0</v>
      </c>
      <c r="V8" s="42">
        <f>+IF(AND(V7&gt;=Assumptions!$H$26,V7&lt;Assumptions!$H$28),Assumptions!$H$55/ROUNDUP((Assumptions!$H$27/12),0),0)</f>
        <v>0</v>
      </c>
      <c r="W8" s="42">
        <f>+IF(AND(W7&gt;=Assumptions!$H$26,W7&lt;Assumptions!$H$28),Assumptions!$H$55/ROUNDUP((Assumptions!$H$27/12),0),0)</f>
        <v>0</v>
      </c>
      <c r="X8" s="42">
        <f>+IF(AND(X7&gt;=Assumptions!$H$26,X7&lt;Assumptions!$H$28),Assumptions!$H$55/ROUNDUP((Assumptions!$H$27/12),0),0)</f>
        <v>0</v>
      </c>
      <c r="Y8" s="42">
        <f>+IF(AND(Y7&gt;=Assumptions!$H$26,Y7&lt;Assumptions!$H$28),Assumptions!$H$55/ROUNDUP((Assumptions!$H$27/12),0),0)</f>
        <v>0</v>
      </c>
      <c r="Z8" s="42">
        <f>+IF(AND(Z7&gt;=Assumptions!$H$26,Z7&lt;Assumptions!$H$28),Assumptions!$H$55/ROUNDUP((Assumptions!$H$27/12),0),0)</f>
        <v>0</v>
      </c>
    </row>
    <row r="9" spans="1:26" x14ac:dyDescent="0.35">
      <c r="B9" s="33" t="s">
        <v>249</v>
      </c>
      <c r="C9" s="33"/>
      <c r="D9" s="42">
        <v>0</v>
      </c>
      <c r="E9" s="42"/>
      <c r="F9" s="42">
        <f>+D9+F8</f>
        <v>0</v>
      </c>
      <c r="G9" s="42">
        <f t="shared" ref="G9:Z9" si="2">+F9+G8</f>
        <v>0</v>
      </c>
      <c r="H9" s="42">
        <f t="shared" si="2"/>
        <v>0</v>
      </c>
      <c r="I9" s="42">
        <f t="shared" si="2"/>
        <v>45681.178363205021</v>
      </c>
      <c r="J9" s="42">
        <f t="shared" si="2"/>
        <v>91362.356726410042</v>
      </c>
      <c r="K9" s="42">
        <f t="shared" si="2"/>
        <v>91362.356726410042</v>
      </c>
      <c r="L9" s="42">
        <f t="shared" si="2"/>
        <v>91362.356726410042</v>
      </c>
      <c r="M9" s="42">
        <f t="shared" si="2"/>
        <v>91362.356726410042</v>
      </c>
      <c r="N9" s="42">
        <f t="shared" si="2"/>
        <v>91362.356726410042</v>
      </c>
      <c r="O9" s="42">
        <f t="shared" si="2"/>
        <v>91362.356726410042</v>
      </c>
      <c r="P9" s="42">
        <f t="shared" si="2"/>
        <v>91362.356726410042</v>
      </c>
      <c r="Q9" s="42">
        <f t="shared" si="2"/>
        <v>91362.356726410042</v>
      </c>
      <c r="R9" s="42">
        <f t="shared" si="2"/>
        <v>91362.356726410042</v>
      </c>
      <c r="S9" s="42">
        <f t="shared" si="2"/>
        <v>91362.356726410042</v>
      </c>
      <c r="T9" s="42">
        <f t="shared" si="2"/>
        <v>91362.356726410042</v>
      </c>
      <c r="U9" s="42">
        <f t="shared" si="2"/>
        <v>91362.356726410042</v>
      </c>
      <c r="V9" s="42">
        <f t="shared" si="2"/>
        <v>91362.356726410042</v>
      </c>
      <c r="W9" s="42">
        <f t="shared" si="2"/>
        <v>91362.356726410042</v>
      </c>
      <c r="X9" s="42">
        <f t="shared" si="2"/>
        <v>91362.356726410042</v>
      </c>
      <c r="Y9" s="42">
        <f t="shared" si="2"/>
        <v>91362.356726410042</v>
      </c>
      <c r="Z9" s="42">
        <f t="shared" si="2"/>
        <v>91362.356726410042</v>
      </c>
    </row>
    <row r="10" spans="1:26" x14ac:dyDescent="0.35">
      <c r="B10" s="33" t="s">
        <v>496</v>
      </c>
      <c r="C10" s="33"/>
      <c r="D10" s="42"/>
      <c r="E10" s="42"/>
      <c r="F10" s="42">
        <f>+F11-E11</f>
        <v>0</v>
      </c>
      <c r="G10" s="42">
        <f t="shared" ref="G10:Z10" si="3">+G11-F11</f>
        <v>0</v>
      </c>
      <c r="H10" s="42">
        <f t="shared" si="3"/>
        <v>0</v>
      </c>
      <c r="I10" s="42">
        <f t="shared" si="3"/>
        <v>62.500157669657781</v>
      </c>
      <c r="J10" s="42">
        <f t="shared" si="3"/>
        <v>62.500157669657781</v>
      </c>
      <c r="K10" s="42">
        <f t="shared" si="3"/>
        <v>0</v>
      </c>
      <c r="L10" s="42">
        <f t="shared" si="3"/>
        <v>0</v>
      </c>
      <c r="M10" s="42">
        <f t="shared" si="3"/>
        <v>0</v>
      </c>
      <c r="N10" s="42">
        <f t="shared" si="3"/>
        <v>0</v>
      </c>
      <c r="O10" s="42">
        <f t="shared" si="3"/>
        <v>0</v>
      </c>
      <c r="P10" s="42">
        <f t="shared" si="3"/>
        <v>0</v>
      </c>
      <c r="Q10" s="42">
        <f t="shared" si="3"/>
        <v>0</v>
      </c>
      <c r="R10" s="42">
        <f t="shared" si="3"/>
        <v>0</v>
      </c>
      <c r="S10" s="42">
        <f t="shared" si="3"/>
        <v>0</v>
      </c>
      <c r="T10" s="42">
        <f t="shared" si="3"/>
        <v>0</v>
      </c>
      <c r="U10" s="42">
        <f t="shared" si="3"/>
        <v>0</v>
      </c>
      <c r="V10" s="42">
        <f t="shared" si="3"/>
        <v>0</v>
      </c>
      <c r="W10" s="42">
        <f t="shared" si="3"/>
        <v>0</v>
      </c>
      <c r="X10" s="42">
        <f t="shared" si="3"/>
        <v>0</v>
      </c>
      <c r="Y10" s="42">
        <f t="shared" si="3"/>
        <v>0</v>
      </c>
      <c r="Z10" s="42">
        <f t="shared" si="3"/>
        <v>0</v>
      </c>
    </row>
    <row r="11" spans="1:26" x14ac:dyDescent="0.35">
      <c r="B11" s="33" t="s">
        <v>250</v>
      </c>
      <c r="C11" s="33"/>
      <c r="D11" s="42"/>
      <c r="E11" s="42"/>
      <c r="F11" s="42">
        <f>+F12*Assumptions!$H$56</f>
        <v>0</v>
      </c>
      <c r="G11" s="42">
        <f>+G12*Assumptions!$H$56</f>
        <v>0</v>
      </c>
      <c r="H11" s="42">
        <f>+H12*Assumptions!$H$56</f>
        <v>0</v>
      </c>
      <c r="I11" s="42">
        <f>+I12*Assumptions!$H$56</f>
        <v>62.500157669657781</v>
      </c>
      <c r="J11" s="42">
        <f>+J12*Assumptions!$H$56</f>
        <v>125.00031533931556</v>
      </c>
      <c r="K11" s="42">
        <f>+K12*Assumptions!$H$56</f>
        <v>125.00031533931556</v>
      </c>
      <c r="L11" s="42">
        <f>+L12*Assumptions!$H$56</f>
        <v>125.00031533931556</v>
      </c>
      <c r="M11" s="42">
        <f>+M12*Assumptions!$H$56</f>
        <v>125.00031533931556</v>
      </c>
      <c r="N11" s="42">
        <f>+N12*Assumptions!$H$56</f>
        <v>125.00031533931556</v>
      </c>
      <c r="O11" s="42">
        <f>+O12*Assumptions!$H$56</f>
        <v>125.00031533931556</v>
      </c>
      <c r="P11" s="42">
        <f>+P12*Assumptions!$H$56</f>
        <v>125.00031533931556</v>
      </c>
      <c r="Q11" s="42">
        <f>+Q12*Assumptions!$H$56</f>
        <v>125.00031533931556</v>
      </c>
      <c r="R11" s="42">
        <f>+R12*Assumptions!$H$56</f>
        <v>125.00031533931556</v>
      </c>
      <c r="S11" s="42">
        <f>+S12*Assumptions!$H$56</f>
        <v>125.00031533931556</v>
      </c>
      <c r="T11" s="42">
        <f>+T12*Assumptions!$H$56</f>
        <v>125.00031533931556</v>
      </c>
      <c r="U11" s="42">
        <f>+U12*Assumptions!$H$56</f>
        <v>125.00031533931556</v>
      </c>
      <c r="V11" s="42">
        <f>+V12*Assumptions!$H$56</f>
        <v>125.00031533931556</v>
      </c>
      <c r="W11" s="42">
        <f>+W12*Assumptions!$H$56</f>
        <v>125.00031533931556</v>
      </c>
      <c r="X11" s="42">
        <f>+X12*Assumptions!$H$56</f>
        <v>125.00031533931556</v>
      </c>
      <c r="Y11" s="42">
        <f>+Y12*Assumptions!$H$56</f>
        <v>125.00031533931556</v>
      </c>
      <c r="Z11" s="42">
        <f>+Z12*Assumptions!$H$56</f>
        <v>125.00031533931556</v>
      </c>
    </row>
    <row r="12" spans="1:26" x14ac:dyDescent="0.35">
      <c r="B12" s="33" t="s">
        <v>306</v>
      </c>
      <c r="C12" s="33"/>
      <c r="D12" s="42"/>
      <c r="E12" s="42"/>
      <c r="F12" s="108">
        <f>+F9/SUM($F$8:$Z$8)</f>
        <v>0</v>
      </c>
      <c r="G12" s="108">
        <f t="shared" ref="G12:Z12" si="4">+G9/SUM($F$8:$Z$8)</f>
        <v>0</v>
      </c>
      <c r="H12" s="108">
        <f t="shared" si="4"/>
        <v>0</v>
      </c>
      <c r="I12" s="108">
        <f t="shared" si="4"/>
        <v>0.5</v>
      </c>
      <c r="J12" s="108">
        <f t="shared" si="4"/>
        <v>1</v>
      </c>
      <c r="K12" s="108">
        <f t="shared" si="4"/>
        <v>1</v>
      </c>
      <c r="L12" s="108">
        <f t="shared" si="4"/>
        <v>1</v>
      </c>
      <c r="M12" s="108">
        <f t="shared" si="4"/>
        <v>1</v>
      </c>
      <c r="N12" s="108">
        <f t="shared" si="4"/>
        <v>1</v>
      </c>
      <c r="O12" s="108">
        <f t="shared" si="4"/>
        <v>1</v>
      </c>
      <c r="P12" s="108">
        <f t="shared" si="4"/>
        <v>1</v>
      </c>
      <c r="Q12" s="108">
        <f t="shared" si="4"/>
        <v>1</v>
      </c>
      <c r="R12" s="108">
        <f t="shared" si="4"/>
        <v>1</v>
      </c>
      <c r="S12" s="108">
        <f t="shared" si="4"/>
        <v>1</v>
      </c>
      <c r="T12" s="108">
        <f t="shared" si="4"/>
        <v>1</v>
      </c>
      <c r="U12" s="108">
        <f t="shared" si="4"/>
        <v>1</v>
      </c>
      <c r="V12" s="108">
        <f t="shared" si="4"/>
        <v>1</v>
      </c>
      <c r="W12" s="108">
        <f t="shared" si="4"/>
        <v>1</v>
      </c>
      <c r="X12" s="108">
        <f t="shared" si="4"/>
        <v>1</v>
      </c>
      <c r="Y12" s="108">
        <f t="shared" si="4"/>
        <v>1</v>
      </c>
      <c r="Z12" s="108">
        <f t="shared" si="4"/>
        <v>1</v>
      </c>
    </row>
    <row r="13" spans="1:26" x14ac:dyDescent="0.35">
      <c r="B13" s="33"/>
      <c r="C13" s="33"/>
      <c r="D13" s="42"/>
      <c r="E13" s="42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x14ac:dyDescent="0.35">
      <c r="B14" s="33" t="s">
        <v>254</v>
      </c>
      <c r="C14" s="33"/>
      <c r="D14" s="42"/>
      <c r="E14" s="42"/>
      <c r="F14" s="108">
        <v>1</v>
      </c>
      <c r="G14" s="108">
        <f>+F14*(1+Assumptions!$P$63)</f>
        <v>1.02</v>
      </c>
      <c r="H14" s="108">
        <f>+G14*(1+Assumptions!$P$63)</f>
        <v>1.0404</v>
      </c>
      <c r="I14" s="108">
        <f>+H14*(1+Assumptions!$P$63)</f>
        <v>1.0612079999999999</v>
      </c>
      <c r="J14" s="108">
        <f>+I14*(1+Assumptions!$P$63)</f>
        <v>1.08243216</v>
      </c>
      <c r="K14" s="108">
        <f>+J14*(1+Assumptions!$P$63)</f>
        <v>1.1040808032</v>
      </c>
      <c r="L14" s="108">
        <f>+K14*(1+Assumptions!$P$63)</f>
        <v>1.1261624192640001</v>
      </c>
      <c r="M14" s="108">
        <f>+L14*(1+Assumptions!$P$63)</f>
        <v>1.14868566764928</v>
      </c>
      <c r="N14" s="108">
        <f>+M14*(1+Assumptions!$P$63)</f>
        <v>1.1716593810022657</v>
      </c>
      <c r="O14" s="108">
        <f>+N14*(1+Assumptions!$P$63)</f>
        <v>1.1950925686223111</v>
      </c>
      <c r="P14" s="108">
        <f>+O14*(1+Assumptions!$P$63)</f>
        <v>1.2189944199947573</v>
      </c>
      <c r="Q14" s="108">
        <f>+P14*(1+Assumptions!$P$63)</f>
        <v>1.2433743083946525</v>
      </c>
      <c r="R14" s="108">
        <f>+Q14*(1+Assumptions!$P$63)</f>
        <v>1.2682417945625455</v>
      </c>
      <c r="S14" s="108">
        <f>+R14*(1+Assumptions!$P$63)</f>
        <v>1.2936066304537963</v>
      </c>
      <c r="T14" s="108">
        <f>+S14*(1+Assumptions!$P$63)</f>
        <v>1.3194787630628724</v>
      </c>
      <c r="U14" s="108">
        <f>+T14*(1+Assumptions!$P$63)</f>
        <v>1.3458683383241299</v>
      </c>
      <c r="V14" s="108">
        <f>+U14*(1+Assumptions!$P$63)</f>
        <v>1.3727857050906125</v>
      </c>
      <c r="W14" s="108">
        <f>+V14*(1+Assumptions!$P$63)</f>
        <v>1.4002414191924248</v>
      </c>
      <c r="X14" s="108">
        <f>+W14*(1+Assumptions!$P$63)</f>
        <v>1.4282462475762734</v>
      </c>
      <c r="Y14" s="108">
        <f>+X14*(1+Assumptions!$P$63)</f>
        <v>1.4568111725277988</v>
      </c>
      <c r="Z14" s="108">
        <f>+Y14*(1+Assumptions!$P$63)</f>
        <v>1.4859473959783549</v>
      </c>
    </row>
    <row r="15" spans="1:26" x14ac:dyDescent="0.35">
      <c r="B15" s="33" t="s">
        <v>255</v>
      </c>
      <c r="C15" s="33"/>
      <c r="D15" s="42"/>
      <c r="E15" s="42"/>
      <c r="F15" s="108">
        <v>1</v>
      </c>
      <c r="G15" s="108">
        <f>+F15*(1+Assumptions!$P$76)</f>
        <v>1.03</v>
      </c>
      <c r="H15" s="108">
        <f>+G15*(1+Assumptions!$P$76)</f>
        <v>1.0609</v>
      </c>
      <c r="I15" s="108">
        <f>+H15*(1+Assumptions!$P$76)</f>
        <v>1.092727</v>
      </c>
      <c r="J15" s="108">
        <f>+I15*(1+Assumptions!$P$76)</f>
        <v>1.1255088100000001</v>
      </c>
      <c r="K15" s="108">
        <f>+J15*(1+Assumptions!$P$76)</f>
        <v>1.1592740743000001</v>
      </c>
      <c r="L15" s="108">
        <f>+K15*(1+Assumptions!$P$76)</f>
        <v>1.1940522965290001</v>
      </c>
      <c r="M15" s="108">
        <f>+L15*(1+Assumptions!$P$76)</f>
        <v>1.2298738654248702</v>
      </c>
      <c r="N15" s="108">
        <f>+M15*(1+Assumptions!$P$76)</f>
        <v>1.2667700813876164</v>
      </c>
      <c r="O15" s="108">
        <f>+N15*(1+Assumptions!$P$76)</f>
        <v>1.3047731838292449</v>
      </c>
      <c r="P15" s="108">
        <f>+O15*(1+Assumptions!$P$76)</f>
        <v>1.3439163793441222</v>
      </c>
      <c r="Q15" s="108">
        <f>+P15*(1+Assumptions!$P$76)</f>
        <v>1.3842338707244459</v>
      </c>
      <c r="R15" s="108">
        <f>+Q15*(1+Assumptions!$P$76)</f>
        <v>1.4257608868461793</v>
      </c>
      <c r="S15" s="108">
        <f>+R15*(1+Assumptions!$P$76)</f>
        <v>1.4685337134515648</v>
      </c>
      <c r="T15" s="108">
        <f>+S15*(1+Assumptions!$P$76)</f>
        <v>1.5125897248551119</v>
      </c>
      <c r="U15" s="108">
        <f>+T15*(1+Assumptions!$P$76)</f>
        <v>1.5579674166007653</v>
      </c>
      <c r="V15" s="108">
        <f>+U15*(1+Assumptions!$P$76)</f>
        <v>1.6047064390987884</v>
      </c>
      <c r="W15" s="108">
        <f>+V15*(1+Assumptions!$P$76)</f>
        <v>1.652847632271752</v>
      </c>
      <c r="X15" s="108">
        <f>+W15*(1+Assumptions!$P$76)</f>
        <v>1.7024330612399046</v>
      </c>
      <c r="Y15" s="108">
        <f>+X15*(1+Assumptions!$P$76)</f>
        <v>1.7535060530771018</v>
      </c>
      <c r="Z15" s="108">
        <f>+Y15*(1+Assumptions!$P$76)</f>
        <v>1.806111234669415</v>
      </c>
    </row>
    <row r="16" spans="1:26" x14ac:dyDescent="0.35">
      <c r="B16" s="33"/>
      <c r="C16" s="33"/>
      <c r="D16" s="40"/>
      <c r="E16" s="40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2:26" x14ac:dyDescent="0.35">
      <c r="B17" s="33" t="s">
        <v>246</v>
      </c>
      <c r="C17" s="33"/>
      <c r="D17" s="40"/>
      <c r="E17" s="40"/>
      <c r="F17" s="34">
        <f>+F12*Assumptions!$H$54*F14</f>
        <v>0</v>
      </c>
      <c r="G17" s="34">
        <f>+G12*Assumptions!$H$54*G14</f>
        <v>0</v>
      </c>
      <c r="H17" s="34">
        <f>+H12*Assumptions!$H$54*H14</f>
        <v>0</v>
      </c>
      <c r="I17" s="34">
        <f>+I12*Assumptions!$H$54*I14</f>
        <v>636678.76454873465</v>
      </c>
      <c r="J17" s="34">
        <f>+J12*Assumptions!$H$54*J14</f>
        <v>1298824.6796794187</v>
      </c>
      <c r="K17" s="34">
        <f>+K12*Assumptions!$H$54*K14</f>
        <v>1324801.1732730072</v>
      </c>
      <c r="L17" s="34">
        <f>+L12*Assumptions!$H$54*L14</f>
        <v>1351297.1967384673</v>
      </c>
      <c r="M17" s="34">
        <f>+M12*Assumptions!$H$54*M14</f>
        <v>1378323.1406732365</v>
      </c>
      <c r="N17" s="34">
        <f>+N12*Assumptions!$H$54*N14</f>
        <v>1405889.6034867014</v>
      </c>
      <c r="O17" s="34">
        <f>+O12*Assumptions!$H$54*O14</f>
        <v>1434007.3955564355</v>
      </c>
      <c r="P17" s="34">
        <f>+P12*Assumptions!$H$54*P14</f>
        <v>1462687.5434675643</v>
      </c>
      <c r="Q17" s="34">
        <f>+Q12*Assumptions!$H$54*Q14</f>
        <v>1491941.2943369155</v>
      </c>
      <c r="R17" s="34">
        <f>+R12*Assumptions!$H$54*R14</f>
        <v>1521780.1202236537</v>
      </c>
      <c r="S17" s="34">
        <f>+S12*Assumptions!$H$54*S14</f>
        <v>1552215.7226281269</v>
      </c>
      <c r="T17" s="34">
        <f>+T12*Assumptions!$H$54*T14</f>
        <v>1583260.0370806893</v>
      </c>
      <c r="U17" s="34">
        <f>+U12*Assumptions!$H$54*U14</f>
        <v>1614925.2378223033</v>
      </c>
      <c r="V17" s="34">
        <f>+V12*Assumptions!$H$54*V14</f>
        <v>1647223.7425787493</v>
      </c>
      <c r="W17" s="34">
        <f>+W12*Assumptions!$H$54*W14</f>
        <v>1680168.2174303245</v>
      </c>
      <c r="X17" s="34">
        <f>+X12*Assumptions!$H$54*X14</f>
        <v>1713771.581778931</v>
      </c>
      <c r="Y17" s="34">
        <f>+Y12*Assumptions!$H$54*Y14</f>
        <v>1748047.0134145096</v>
      </c>
      <c r="Z17" s="34">
        <f>+Z12*Assumptions!$H$54*Z14</f>
        <v>1783007.9536827998</v>
      </c>
    </row>
    <row r="18" spans="2:26" x14ac:dyDescent="0.35">
      <c r="B18" s="33" t="s">
        <v>247</v>
      </c>
      <c r="C18" s="33"/>
      <c r="D18" s="40"/>
      <c r="E18" s="40"/>
      <c r="F18" s="42">
        <f>-F17*Assumptions!$P$54</f>
        <v>0</v>
      </c>
      <c r="G18" s="42">
        <f>-G17*Assumptions!$P$54</f>
        <v>0</v>
      </c>
      <c r="H18" s="42">
        <f>-H17*Assumptions!$P$54</f>
        <v>0</v>
      </c>
      <c r="I18" s="42">
        <f>-I17*Assumptions!$P$54</f>
        <v>-19100.362936462039</v>
      </c>
      <c r="J18" s="42">
        <f>-J17*Assumptions!$P$54</f>
        <v>-38964.740390382562</v>
      </c>
      <c r="K18" s="42">
        <f>-K17*Assumptions!$P$54</f>
        <v>-39744.035198190213</v>
      </c>
      <c r="L18" s="42">
        <f>-L17*Assumptions!$P$54</f>
        <v>-40538.915902154018</v>
      </c>
      <c r="M18" s="42">
        <f>-M17*Assumptions!$P$54</f>
        <v>-41349.694220197089</v>
      </c>
      <c r="N18" s="42">
        <f>-N17*Assumptions!$P$54</f>
        <v>-42176.688104601039</v>
      </c>
      <c r="O18" s="42">
        <f>-O17*Assumptions!$P$54</f>
        <v>-43020.221866693064</v>
      </c>
      <c r="P18" s="42">
        <f>-P17*Assumptions!$P$54</f>
        <v>-43880.626304026926</v>
      </c>
      <c r="Q18" s="42">
        <f>-Q17*Assumptions!$P$54</f>
        <v>-44758.238830107461</v>
      </c>
      <c r="R18" s="42">
        <f>-R17*Assumptions!$P$54</f>
        <v>-45653.403606709609</v>
      </c>
      <c r="S18" s="42">
        <f>-S17*Assumptions!$P$54</f>
        <v>-46566.471678843802</v>
      </c>
      <c r="T18" s="42">
        <f>-T17*Assumptions!$P$54</f>
        <v>-47497.801112420675</v>
      </c>
      <c r="U18" s="42">
        <f>-U17*Assumptions!$P$54</f>
        <v>-48447.757134669097</v>
      </c>
      <c r="V18" s="42">
        <f>-V17*Assumptions!$P$54</f>
        <v>-49416.71227736248</v>
      </c>
      <c r="W18" s="42">
        <f>-W17*Assumptions!$P$54</f>
        <v>-50405.046522909732</v>
      </c>
      <c r="X18" s="42">
        <f>-X17*Assumptions!$P$54</f>
        <v>-51413.147453367928</v>
      </c>
      <c r="Y18" s="42">
        <f>-Y17*Assumptions!$P$54</f>
        <v>-52441.410402435286</v>
      </c>
      <c r="Z18" s="42">
        <f>-Z17*Assumptions!$P$54</f>
        <v>-53490.23861048399</v>
      </c>
    </row>
    <row r="19" spans="2:26" x14ac:dyDescent="0.35">
      <c r="B19" s="33" t="s">
        <v>385</v>
      </c>
      <c r="C19" s="33"/>
      <c r="D19" s="40"/>
      <c r="E19" s="40"/>
      <c r="F19" s="151">
        <f>+F11*Assumptions!$H$89*(1-Assumptions!$P$54)*12</f>
        <v>0</v>
      </c>
      <c r="G19" s="151">
        <f>+G11*Assumptions!$H$89*(1-Assumptions!$P$54)*12</f>
        <v>0</v>
      </c>
      <c r="H19" s="151">
        <f>+H11*Assumptions!$H$89*(1-Assumptions!$P$54)*12</f>
        <v>0</v>
      </c>
      <c r="I19" s="151">
        <f>+I11*Assumptions!$H$89*(1-Assumptions!$P$54)*12</f>
        <v>3637.5091763740829</v>
      </c>
      <c r="J19" s="151">
        <f>+J11*Assumptions!$H$89*(1-Assumptions!$P$54)*12</f>
        <v>7275.0183527481659</v>
      </c>
      <c r="K19" s="151">
        <f>+K11*Assumptions!$H$89*(1-Assumptions!$P$54)*12</f>
        <v>7275.0183527481659</v>
      </c>
      <c r="L19" s="151">
        <f>+L11*Assumptions!$H$89*(1-Assumptions!$P$54)*12</f>
        <v>7275.0183527481659</v>
      </c>
      <c r="M19" s="151">
        <f>+M11*Assumptions!$H$89*(1-Assumptions!$P$54)*12</f>
        <v>7275.0183527481659</v>
      </c>
      <c r="N19" s="151">
        <f>+N11*Assumptions!$H$89*(1-Assumptions!$P$54)*12</f>
        <v>7275.0183527481659</v>
      </c>
      <c r="O19" s="151">
        <f>+O11*Assumptions!$H$89*(1-Assumptions!$P$54)*12</f>
        <v>7275.0183527481659</v>
      </c>
      <c r="P19" s="151">
        <f>+P11*Assumptions!$H$89*(1-Assumptions!$P$54)*12</f>
        <v>7275.0183527481659</v>
      </c>
      <c r="Q19" s="151">
        <f>+Q11*Assumptions!$H$89*(1-Assumptions!$P$54)*12</f>
        <v>7275.0183527481659</v>
      </c>
      <c r="R19" s="151">
        <f>+R11*Assumptions!$H$89*(1-Assumptions!$P$54)*12</f>
        <v>7275.0183527481659</v>
      </c>
      <c r="S19" s="151">
        <f>+S11*Assumptions!$H$89*(1-Assumptions!$P$54)*12</f>
        <v>7275.0183527481659</v>
      </c>
      <c r="T19" s="151">
        <f>+T11*Assumptions!$H$89*(1-Assumptions!$P$54)*12</f>
        <v>7275.0183527481659</v>
      </c>
      <c r="U19" s="151">
        <f>+U11*Assumptions!$H$89*(1-Assumptions!$P$54)*12</f>
        <v>7275.0183527481659</v>
      </c>
      <c r="V19" s="151">
        <f>+V11*Assumptions!$H$89*(1-Assumptions!$P$54)*12</f>
        <v>7275.0183527481659</v>
      </c>
      <c r="W19" s="151">
        <f>+W11*Assumptions!$H$89*(1-Assumptions!$P$54)*12</f>
        <v>7275.0183527481659</v>
      </c>
      <c r="X19" s="151">
        <f>+X11*Assumptions!$H$89*(1-Assumptions!$P$54)*12</f>
        <v>7275.0183527481659</v>
      </c>
      <c r="Y19" s="151">
        <f>+Y11*Assumptions!$H$89*(1-Assumptions!$P$54)*12</f>
        <v>7275.0183527481659</v>
      </c>
      <c r="Z19" s="151">
        <f>+Z11*Assumptions!$H$89*(1-Assumptions!$P$54)*12</f>
        <v>7275.0183527481659</v>
      </c>
    </row>
    <row r="20" spans="2:26" x14ac:dyDescent="0.35">
      <c r="B20" s="137" t="s">
        <v>256</v>
      </c>
      <c r="C20" s="137"/>
      <c r="D20" s="137"/>
      <c r="E20" s="137"/>
      <c r="F20" s="129">
        <f t="shared" ref="F20:Z20" si="5">+SUM(F17:F19)</f>
        <v>0</v>
      </c>
      <c r="G20" s="129">
        <f t="shared" si="5"/>
        <v>0</v>
      </c>
      <c r="H20" s="129">
        <f t="shared" si="5"/>
        <v>0</v>
      </c>
      <c r="I20" s="129">
        <f t="shared" si="5"/>
        <v>621215.91078864667</v>
      </c>
      <c r="J20" s="129">
        <f t="shared" si="5"/>
        <v>1267134.9576417843</v>
      </c>
      <c r="K20" s="129">
        <f t="shared" si="5"/>
        <v>1292332.156427565</v>
      </c>
      <c r="L20" s="129">
        <f t="shared" si="5"/>
        <v>1318033.2991890614</v>
      </c>
      <c r="M20" s="129">
        <f t="shared" si="5"/>
        <v>1344248.4648057874</v>
      </c>
      <c r="N20" s="129">
        <f t="shared" si="5"/>
        <v>1370987.9337348484</v>
      </c>
      <c r="O20" s="129">
        <f t="shared" si="5"/>
        <v>1398262.1920424905</v>
      </c>
      <c r="P20" s="129">
        <f t="shared" si="5"/>
        <v>1426081.9355162855</v>
      </c>
      <c r="Q20" s="129">
        <f t="shared" si="5"/>
        <v>1454458.0738595561</v>
      </c>
      <c r="R20" s="129">
        <f t="shared" si="5"/>
        <v>1483401.7349696923</v>
      </c>
      <c r="S20" s="129">
        <f t="shared" si="5"/>
        <v>1512924.2693020313</v>
      </c>
      <c r="T20" s="129">
        <f t="shared" si="5"/>
        <v>1543037.2543210168</v>
      </c>
      <c r="U20" s="129">
        <f t="shared" si="5"/>
        <v>1573752.4990403824</v>
      </c>
      <c r="V20" s="129">
        <f t="shared" si="5"/>
        <v>1605082.0486541349</v>
      </c>
      <c r="W20" s="129">
        <f t="shared" si="5"/>
        <v>1637038.1892601629</v>
      </c>
      <c r="X20" s="129">
        <f t="shared" si="5"/>
        <v>1669633.4526783112</v>
      </c>
      <c r="Y20" s="129">
        <f t="shared" si="5"/>
        <v>1702880.6213648224</v>
      </c>
      <c r="Z20" s="129">
        <f t="shared" si="5"/>
        <v>1736792.733425064</v>
      </c>
    </row>
    <row r="22" spans="2:26" x14ac:dyDescent="0.35">
      <c r="B22" s="33" t="s">
        <v>395</v>
      </c>
      <c r="F22" s="34">
        <f>+F11*Assumptions!$P$95*F15</f>
        <v>0</v>
      </c>
      <c r="G22" s="34">
        <f>+G11*Assumptions!$P$95*G15</f>
        <v>0</v>
      </c>
      <c r="H22" s="34">
        <f>+H11*Assumptions!$P$95*H15</f>
        <v>0</v>
      </c>
      <c r="I22" s="34">
        <f>+I11*Assumptions!$P$95*I15</f>
        <v>428767.11365566251</v>
      </c>
      <c r="J22" s="34">
        <f>+J11*Assumptions!$P$95*J15</f>
        <v>883260.25413066486</v>
      </c>
      <c r="K22" s="34">
        <f>+K11*Assumptions!$P$95*K15</f>
        <v>909758.06175458478</v>
      </c>
      <c r="L22" s="34">
        <f>+L11*Assumptions!$P$95*L15</f>
        <v>937050.80360722239</v>
      </c>
      <c r="M22" s="34">
        <f>+M11*Assumptions!$P$95*M15</f>
        <v>965162.32771543914</v>
      </c>
      <c r="N22" s="34">
        <f>+N11*Assumptions!$P$95*N15</f>
        <v>994117.19754690235</v>
      </c>
      <c r="O22" s="34">
        <f>+O11*Assumptions!$P$95*O15</f>
        <v>1023940.7134733094</v>
      </c>
      <c r="P22" s="34">
        <f>+P11*Assumptions!$P$95*P15</f>
        <v>1054658.9348775088</v>
      </c>
      <c r="Q22" s="34">
        <f>+Q11*Assumptions!$P$95*Q15</f>
        <v>1086298.7029238339</v>
      </c>
      <c r="R22" s="34">
        <f>+R11*Assumptions!$P$95*R15</f>
        <v>1118887.664011549</v>
      </c>
      <c r="S22" s="34">
        <f>+S11*Assumptions!$P$95*S15</f>
        <v>1152454.2939318956</v>
      </c>
      <c r="T22" s="34">
        <f>+T11*Assumptions!$P$95*T15</f>
        <v>1187027.9227498525</v>
      </c>
      <c r="U22" s="34">
        <f>+U11*Assumptions!$P$95*U15</f>
        <v>1222638.7604323481</v>
      </c>
      <c r="V22" s="34">
        <f>+V11*Assumptions!$P$95*V15</f>
        <v>1259317.9232453187</v>
      </c>
      <c r="W22" s="34">
        <f>+W11*Assumptions!$P$95*W15</f>
        <v>1297097.4609426782</v>
      </c>
      <c r="X22" s="34">
        <f>+X11*Assumptions!$P$95*X15</f>
        <v>1336010.3847709587</v>
      </c>
      <c r="Y22" s="34">
        <f>+Y11*Assumptions!$P$95*Y15</f>
        <v>1376090.6963140874</v>
      </c>
      <c r="Z22" s="34">
        <f>+Z11*Assumptions!$P$95*Z15</f>
        <v>1417373.4172035102</v>
      </c>
    </row>
    <row r="23" spans="2:26" x14ac:dyDescent="0.35">
      <c r="B23" s="33" t="s">
        <v>331</v>
      </c>
      <c r="F23" s="151">
        <f ca="1">+IFERROR(INDEX('Taxes and TIF'!$AR$11:$AR$45,MATCH('Phase III Pro Forma'!F$7,'Taxes and TIF'!$AG$11:$AG$45,0)),0)*'Loan Sizing'!$M$15*F12</f>
        <v>0</v>
      </c>
      <c r="G23" s="151">
        <f ca="1">+IFERROR(INDEX('Taxes and TIF'!$AR$11:$AR$45,MATCH('Phase III Pro Forma'!G$7,'Taxes and TIF'!$AG$11:$AG$45,0)),0)*'Loan Sizing'!$M$15*G12</f>
        <v>0</v>
      </c>
      <c r="H23" s="151">
        <f ca="1">+IFERROR(INDEX('Taxes and TIF'!$AR$11:$AR$45,MATCH('Phase III Pro Forma'!H$7,'Taxes and TIF'!$AG$11:$AG$45,0)),0)*'Loan Sizing'!$M$15*H12</f>
        <v>0</v>
      </c>
      <c r="I23" s="151">
        <f ca="1">+IFERROR(INDEX('Taxes and TIF'!$AR$11:$AR$45,MATCH('Phase III Pro Forma'!I$7,'Taxes and TIF'!$AG$11:$AG$45,0)),0)*'Loan Sizing'!$M$15*I12</f>
        <v>44970.587906614965</v>
      </c>
      <c r="J23" s="151">
        <f ca="1">+IFERROR(INDEX('Taxes and TIF'!$AR$11:$AR$45,MATCH('Phase III Pro Forma'!J$7,'Taxes and TIF'!$AG$11:$AG$45,0)),0)*'Loan Sizing'!$M$15*J12</f>
        <v>91739.999329494545</v>
      </c>
      <c r="K23" s="151">
        <f ca="1">+IFERROR(INDEX('Taxes and TIF'!$AR$11:$AR$45,MATCH('Phase III Pro Forma'!K$7,'Taxes and TIF'!$AG$11:$AG$45,0)),0)*'Loan Sizing'!$M$15*K12</f>
        <v>91739.999329494545</v>
      </c>
      <c r="L23" s="151">
        <f ca="1">+IFERROR(INDEX('Taxes and TIF'!$AR$11:$AR$45,MATCH('Phase III Pro Forma'!L$7,'Taxes and TIF'!$AG$11:$AG$45,0)),0)*'Loan Sizing'!$M$15*L12</f>
        <v>91739.999329494545</v>
      </c>
      <c r="M23" s="151">
        <f ca="1">+IFERROR(INDEX('Taxes and TIF'!$AR$11:$AR$45,MATCH('Phase III Pro Forma'!M$7,'Taxes and TIF'!$AG$11:$AG$45,0)),0)*'Loan Sizing'!$M$15*M12</f>
        <v>93574.799316084405</v>
      </c>
      <c r="N23" s="151">
        <f ca="1">+IFERROR(INDEX('Taxes and TIF'!$AR$11:$AR$45,MATCH('Phase III Pro Forma'!N$7,'Taxes and TIF'!$AG$11:$AG$45,0)),0)*'Loan Sizing'!$M$15*N12</f>
        <v>93574.799316084405</v>
      </c>
      <c r="O23" s="151">
        <f ca="1">+IFERROR(INDEX('Taxes and TIF'!$AR$11:$AR$45,MATCH('Phase III Pro Forma'!O$7,'Taxes and TIF'!$AG$11:$AG$45,0)),0)*'Loan Sizing'!$M$15*O12</f>
        <v>93574.799316084405</v>
      </c>
      <c r="P23" s="151">
        <f ca="1">+IFERROR(INDEX('Taxes and TIF'!$AR$11:$AR$45,MATCH('Phase III Pro Forma'!P$7,'Taxes and TIF'!$AG$11:$AG$45,0)),0)*'Loan Sizing'!$M$15*P12</f>
        <v>95446.295302406113</v>
      </c>
      <c r="Q23" s="151">
        <f ca="1">+IFERROR(INDEX('Taxes and TIF'!$AR$11:$AR$45,MATCH('Phase III Pro Forma'!Q$7,'Taxes and TIF'!$AG$11:$AG$45,0)),0)*'Loan Sizing'!$M$15*Q12</f>
        <v>95446.295302406113</v>
      </c>
      <c r="R23" s="151">
        <f ca="1">+IFERROR(INDEX('Taxes and TIF'!$AR$11:$AR$45,MATCH('Phase III Pro Forma'!R$7,'Taxes and TIF'!$AG$11:$AG$45,0)),0)*'Loan Sizing'!$M$15*R12</f>
        <v>95446.295302406113</v>
      </c>
      <c r="S23" s="151">
        <f ca="1">+IFERROR(INDEX('Taxes and TIF'!$AR$11:$AR$45,MATCH('Phase III Pro Forma'!S$7,'Taxes and TIF'!$AG$11:$AG$45,0)),0)*'Loan Sizing'!$M$15*S12</f>
        <v>97355.221208454226</v>
      </c>
      <c r="T23" s="151">
        <f ca="1">+IFERROR(INDEX('Taxes and TIF'!$AR$11:$AR$45,MATCH('Phase III Pro Forma'!T$7,'Taxes and TIF'!$AG$11:$AG$45,0)),0)*'Loan Sizing'!$M$15*T12</f>
        <v>97355.221208454226</v>
      </c>
      <c r="U23" s="151">
        <f ca="1">+IFERROR(INDEX('Taxes and TIF'!$AR$11:$AR$45,MATCH('Phase III Pro Forma'!U$7,'Taxes and TIF'!$AG$11:$AG$45,0)),0)*'Loan Sizing'!$M$15*U12</f>
        <v>97355.221208454226</v>
      </c>
      <c r="V23" s="151">
        <f ca="1">+IFERROR(INDEX('Taxes and TIF'!$AR$11:$AR$45,MATCH('Phase III Pro Forma'!V$7,'Taxes and TIF'!$AG$11:$AG$45,0)),0)*'Loan Sizing'!$M$15*V12</f>
        <v>99302.325632623339</v>
      </c>
      <c r="W23" s="151">
        <f ca="1">+IFERROR(INDEX('Taxes and TIF'!$AR$11:$AR$45,MATCH('Phase III Pro Forma'!W$7,'Taxes and TIF'!$AG$11:$AG$45,0)),0)*'Loan Sizing'!$M$15*W12</f>
        <v>99302.325632623339</v>
      </c>
      <c r="X23" s="151">
        <f ca="1">+IFERROR(INDEX('Taxes and TIF'!$AR$11:$AR$45,MATCH('Phase III Pro Forma'!X$7,'Taxes and TIF'!$AG$11:$AG$45,0)),0)*'Loan Sizing'!$M$15*X12</f>
        <v>99302.325632623339</v>
      </c>
      <c r="Y23" s="151">
        <f ca="1">+IFERROR(INDEX('Taxes and TIF'!$AR$11:$AR$45,MATCH('Phase III Pro Forma'!Y$7,'Taxes and TIF'!$AG$11:$AG$45,0)),0)*'Loan Sizing'!$M$15*Y12</f>
        <v>101288.3721452758</v>
      </c>
      <c r="Z23" s="151">
        <f ca="1">+IFERROR(INDEX('Taxes and TIF'!$AR$11:$AR$45,MATCH('Phase III Pro Forma'!Z$7,'Taxes and TIF'!$AG$11:$AG$45,0)),0)*'Loan Sizing'!$M$15*Z12</f>
        <v>101288.3721452758</v>
      </c>
    </row>
    <row r="24" spans="2:26" x14ac:dyDescent="0.35">
      <c r="B24" s="137" t="s">
        <v>252</v>
      </c>
      <c r="C24" s="137"/>
      <c r="D24" s="137"/>
      <c r="E24" s="137"/>
      <c r="F24" s="129">
        <f t="shared" ref="F24:Z24" ca="1" si="6">+SUM(F22:F23)</f>
        <v>0</v>
      </c>
      <c r="G24" s="129">
        <f t="shared" ca="1" si="6"/>
        <v>0</v>
      </c>
      <c r="H24" s="129">
        <f t="shared" ca="1" si="6"/>
        <v>0</v>
      </c>
      <c r="I24" s="129">
        <f t="shared" ca="1" si="6"/>
        <v>473737.70156227751</v>
      </c>
      <c r="J24" s="129">
        <f t="shared" ca="1" si="6"/>
        <v>975000.25346015941</v>
      </c>
      <c r="K24" s="129">
        <f t="shared" ca="1" si="6"/>
        <v>1001498.0610840793</v>
      </c>
      <c r="L24" s="129">
        <f t="shared" ca="1" si="6"/>
        <v>1028790.8029367169</v>
      </c>
      <c r="M24" s="129">
        <f t="shared" ca="1" si="6"/>
        <v>1058737.1270315235</v>
      </c>
      <c r="N24" s="129">
        <f t="shared" ca="1" si="6"/>
        <v>1087691.9968629868</v>
      </c>
      <c r="O24" s="129">
        <f t="shared" ca="1" si="6"/>
        <v>1117515.5127893938</v>
      </c>
      <c r="P24" s="129">
        <f t="shared" ca="1" si="6"/>
        <v>1150105.230179915</v>
      </c>
      <c r="Q24" s="129">
        <f t="shared" ca="1" si="6"/>
        <v>1181744.99822624</v>
      </c>
      <c r="R24" s="129">
        <f t="shared" ca="1" si="6"/>
        <v>1214333.9593139552</v>
      </c>
      <c r="S24" s="129">
        <f t="shared" ca="1" si="6"/>
        <v>1249809.51514035</v>
      </c>
      <c r="T24" s="129">
        <f t="shared" ca="1" si="6"/>
        <v>1284383.1439583069</v>
      </c>
      <c r="U24" s="129">
        <f t="shared" ca="1" si="6"/>
        <v>1319993.9816408022</v>
      </c>
      <c r="V24" s="129">
        <f t="shared" ca="1" si="6"/>
        <v>1358620.2488779421</v>
      </c>
      <c r="W24" s="129">
        <f t="shared" ca="1" si="6"/>
        <v>1396399.7865753016</v>
      </c>
      <c r="X24" s="129">
        <f t="shared" ca="1" si="6"/>
        <v>1435312.7104035821</v>
      </c>
      <c r="Y24" s="129">
        <f t="shared" ca="1" si="6"/>
        <v>1477379.0684593632</v>
      </c>
      <c r="Z24" s="129">
        <f t="shared" ca="1" si="6"/>
        <v>1518661.789348786</v>
      </c>
    </row>
    <row r="25" spans="2:26" x14ac:dyDescent="0.35">
      <c r="B25" s="33"/>
    </row>
    <row r="26" spans="2:26" x14ac:dyDescent="0.35">
      <c r="B26" s="138" t="s">
        <v>251</v>
      </c>
      <c r="C26" s="138"/>
      <c r="D26" s="138"/>
      <c r="E26" s="138"/>
      <c r="F26" s="139">
        <f t="shared" ref="F26:Z26" ca="1" si="7">+F20-F24</f>
        <v>0</v>
      </c>
      <c r="G26" s="139">
        <f t="shared" ca="1" si="7"/>
        <v>0</v>
      </c>
      <c r="H26" s="139">
        <f t="shared" ca="1" si="7"/>
        <v>0</v>
      </c>
      <c r="I26" s="139">
        <f t="shared" ca="1" si="7"/>
        <v>147478.20922636916</v>
      </c>
      <c r="J26" s="139">
        <f t="shared" ca="1" si="7"/>
        <v>292134.70418162493</v>
      </c>
      <c r="K26" s="139">
        <f t="shared" ca="1" si="7"/>
        <v>290834.09534348571</v>
      </c>
      <c r="L26" s="139">
        <f t="shared" ca="1" si="7"/>
        <v>289242.49625234446</v>
      </c>
      <c r="M26" s="139">
        <f t="shared" ca="1" si="7"/>
        <v>285511.33777426393</v>
      </c>
      <c r="N26" s="139">
        <f t="shared" ca="1" si="7"/>
        <v>283295.93687186157</v>
      </c>
      <c r="O26" s="139">
        <f t="shared" ca="1" si="7"/>
        <v>280746.67925309669</v>
      </c>
      <c r="P26" s="139">
        <f t="shared" ca="1" si="7"/>
        <v>275976.70533637051</v>
      </c>
      <c r="Q26" s="139">
        <f t="shared" ca="1" si="7"/>
        <v>272713.07563331607</v>
      </c>
      <c r="R26" s="139">
        <f t="shared" ca="1" si="7"/>
        <v>269067.77565573715</v>
      </c>
      <c r="S26" s="139">
        <f t="shared" ca="1" si="7"/>
        <v>263114.75416168128</v>
      </c>
      <c r="T26" s="139">
        <f t="shared" ca="1" si="7"/>
        <v>258654.11036270997</v>
      </c>
      <c r="U26" s="139">
        <f t="shared" ca="1" si="7"/>
        <v>253758.51739958022</v>
      </c>
      <c r="V26" s="139">
        <f t="shared" ca="1" si="7"/>
        <v>246461.79977619275</v>
      </c>
      <c r="W26" s="139">
        <f t="shared" ca="1" si="7"/>
        <v>240638.40268486133</v>
      </c>
      <c r="X26" s="139">
        <f t="shared" ca="1" si="7"/>
        <v>234320.74227472907</v>
      </c>
      <c r="Y26" s="139">
        <f t="shared" ca="1" si="7"/>
        <v>225501.55290545919</v>
      </c>
      <c r="Z26" s="139">
        <f t="shared" ca="1" si="7"/>
        <v>218130.94407627801</v>
      </c>
    </row>
    <row r="27" spans="2:26" x14ac:dyDescent="0.35">
      <c r="B27" s="143" t="s">
        <v>257</v>
      </c>
      <c r="C27" s="141"/>
      <c r="D27" s="141"/>
      <c r="E27" s="141"/>
      <c r="F27" s="144" t="str">
        <f t="shared" ref="F27:Z27" ca="1" si="8">+IFERROR(F26/F20,"")</f>
        <v/>
      </c>
      <c r="G27" s="144" t="str">
        <f t="shared" ca="1" si="8"/>
        <v/>
      </c>
      <c r="H27" s="144" t="str">
        <f t="shared" ca="1" si="8"/>
        <v/>
      </c>
      <c r="I27" s="145">
        <f t="shared" ca="1" si="8"/>
        <v>0.23740249833450414</v>
      </c>
      <c r="J27" s="145">
        <f t="shared" ca="1" si="8"/>
        <v>0.23054742702806139</v>
      </c>
      <c r="K27" s="145">
        <f t="shared" ca="1" si="8"/>
        <v>0.22504593257777294</v>
      </c>
      <c r="L27" s="145">
        <f t="shared" ca="1" si="8"/>
        <v>0.21945006733161065</v>
      </c>
      <c r="M27" s="145">
        <f t="shared" ca="1" si="8"/>
        <v>0.21239476573664057</v>
      </c>
      <c r="N27" s="145">
        <f t="shared" ca="1" si="8"/>
        <v>0.20663634587950469</v>
      </c>
      <c r="O27" s="145">
        <f t="shared" ca="1" si="8"/>
        <v>0.20078257200318075</v>
      </c>
      <c r="P27" s="145">
        <f t="shared" ca="1" si="8"/>
        <v>0.19352093204690826</v>
      </c>
      <c r="Q27" s="145">
        <f t="shared" ca="1" si="8"/>
        <v>0.18750150350476827</v>
      </c>
      <c r="R27" s="145">
        <f t="shared" ca="1" si="8"/>
        <v>0.18138564174002031</v>
      </c>
      <c r="S27" s="145">
        <f t="shared" ca="1" si="8"/>
        <v>0.17391138439669951</v>
      </c>
      <c r="T27" s="145">
        <f t="shared" ca="1" si="8"/>
        <v>0.16762661409398416</v>
      </c>
      <c r="U27" s="145">
        <f t="shared" ca="1" si="8"/>
        <v>0.16124423475375768</v>
      </c>
      <c r="V27" s="145">
        <f t="shared" ca="1" si="8"/>
        <v>0.15355090413156858</v>
      </c>
      <c r="W27" s="145">
        <f t="shared" ca="1" si="8"/>
        <v>0.14699620586958609</v>
      </c>
      <c r="X27" s="145">
        <f t="shared" ca="1" si="8"/>
        <v>0.1403426254420381</v>
      </c>
      <c r="Y27" s="145">
        <f t="shared" ca="1" si="8"/>
        <v>0.13242358276690266</v>
      </c>
      <c r="Z27" s="145">
        <f t="shared" ca="1" si="8"/>
        <v>0.12559411372369697</v>
      </c>
    </row>
    <row r="28" spans="2:26" x14ac:dyDescent="0.35">
      <c r="B28" s="143" t="s">
        <v>191</v>
      </c>
      <c r="C28" s="141"/>
      <c r="D28" s="141"/>
      <c r="E28" s="141"/>
      <c r="F28" s="142">
        <f ca="1">+F26/Assumptions!$P$128</f>
        <v>0</v>
      </c>
      <c r="G28" s="142">
        <f ca="1">+G26/Assumptions!$P$128</f>
        <v>0</v>
      </c>
      <c r="H28" s="142">
        <f ca="1">+H26/Assumptions!$P$128</f>
        <v>0</v>
      </c>
      <c r="I28" s="142">
        <f ca="1">+I26/Assumptions!$P$128</f>
        <v>2564838.421328159</v>
      </c>
      <c r="J28" s="142">
        <f ca="1">+J26/Assumptions!$P$128</f>
        <v>5080603.5509847812</v>
      </c>
      <c r="K28" s="142">
        <f ca="1">+K26/Assumptions!$P$128</f>
        <v>5057984.2668432295</v>
      </c>
      <c r="L28" s="142">
        <f ca="1">+L26/Assumptions!$P$128</f>
        <v>5030304.2826494686</v>
      </c>
      <c r="M28" s="142">
        <f ca="1">+M26/Assumptions!$P$128</f>
        <v>4965414.5699871983</v>
      </c>
      <c r="N28" s="142">
        <f ca="1">+N26/Assumptions!$P$128</f>
        <v>4926885.8586410703</v>
      </c>
      <c r="O28" s="142">
        <f ca="1">+O26/Assumptions!$P$128</f>
        <v>4882550.9435321158</v>
      </c>
      <c r="P28" s="142">
        <f ca="1">+P26/Assumptions!$P$128</f>
        <v>4799594.8754151389</v>
      </c>
      <c r="Q28" s="142">
        <f ca="1">+Q26/Assumptions!$P$128</f>
        <v>4742836.0979707139</v>
      </c>
      <c r="R28" s="142">
        <f ca="1">+R26/Assumptions!$P$128</f>
        <v>4679439.5766215157</v>
      </c>
      <c r="S28" s="142">
        <f ca="1">+S26/Assumptions!$P$128</f>
        <v>4575908.768029239</v>
      </c>
      <c r="T28" s="142">
        <f ca="1">+T26/Assumptions!$P$128</f>
        <v>4498332.3541340865</v>
      </c>
      <c r="U28" s="142">
        <f ca="1">+U26/Assumptions!$P$128</f>
        <v>4413191.6069492213</v>
      </c>
      <c r="V28" s="142">
        <f ca="1">+V26/Assumptions!$P$128</f>
        <v>4286292.1700207433</v>
      </c>
      <c r="W28" s="142">
        <f ca="1">+W26/Assumptions!$P$128</f>
        <v>4185015.6988671534</v>
      </c>
      <c r="X28" s="142">
        <f ca="1">+X26/Assumptions!$P$128</f>
        <v>4075143.3439083314</v>
      </c>
      <c r="Y28" s="142">
        <f ca="1">+Y26/Assumptions!$P$128</f>
        <v>3921766.1374862464</v>
      </c>
      <c r="Z28" s="142">
        <f ca="1">+Z26/Assumptions!$P$128</f>
        <v>3793581.6361091826</v>
      </c>
    </row>
    <row r="30" spans="2:26" x14ac:dyDescent="0.35">
      <c r="B30" s="148" t="s">
        <v>263</v>
      </c>
      <c r="C30" s="149"/>
      <c r="D30" s="149"/>
      <c r="E30" s="149"/>
      <c r="F30" s="150">
        <f>+Assumptions!$H$22</f>
        <v>45657</v>
      </c>
      <c r="G30" s="150">
        <f>+EOMONTH(F30,12)</f>
        <v>46022</v>
      </c>
      <c r="H30" s="150">
        <f t="shared" ref="H30:Z30" si="9">+EOMONTH(G30,12)</f>
        <v>46387</v>
      </c>
      <c r="I30" s="150">
        <f t="shared" si="9"/>
        <v>46752</v>
      </c>
      <c r="J30" s="150">
        <f t="shared" si="9"/>
        <v>47118</v>
      </c>
      <c r="K30" s="150">
        <f t="shared" si="9"/>
        <v>47483</v>
      </c>
      <c r="L30" s="150">
        <f t="shared" si="9"/>
        <v>47848</v>
      </c>
      <c r="M30" s="150">
        <f t="shared" si="9"/>
        <v>48213</v>
      </c>
      <c r="N30" s="150">
        <f t="shared" si="9"/>
        <v>48579</v>
      </c>
      <c r="O30" s="150">
        <f t="shared" si="9"/>
        <v>48944</v>
      </c>
      <c r="P30" s="150">
        <f t="shared" si="9"/>
        <v>49309</v>
      </c>
      <c r="Q30" s="150">
        <f t="shared" si="9"/>
        <v>49674</v>
      </c>
      <c r="R30" s="150">
        <f t="shared" si="9"/>
        <v>50040</v>
      </c>
      <c r="S30" s="150">
        <f t="shared" si="9"/>
        <v>50405</v>
      </c>
      <c r="T30" s="150">
        <f t="shared" si="9"/>
        <v>50770</v>
      </c>
      <c r="U30" s="150">
        <f t="shared" si="9"/>
        <v>51135</v>
      </c>
      <c r="V30" s="150">
        <f t="shared" si="9"/>
        <v>51501</v>
      </c>
      <c r="W30" s="150">
        <f t="shared" si="9"/>
        <v>51866</v>
      </c>
      <c r="X30" s="150">
        <f t="shared" si="9"/>
        <v>52231</v>
      </c>
      <c r="Y30" s="150">
        <f t="shared" si="9"/>
        <v>52596</v>
      </c>
      <c r="Z30" s="150">
        <f t="shared" si="9"/>
        <v>52962</v>
      </c>
    </row>
    <row r="31" spans="2:26" x14ac:dyDescent="0.35">
      <c r="B31" s="33" t="s">
        <v>766</v>
      </c>
      <c r="C31" s="33"/>
      <c r="D31" s="40"/>
      <c r="E31" s="40"/>
      <c r="F31" s="42">
        <f>+IF(AND(F30&gt;=Assumptions!$H$26,F30&lt;Assumptions!$H$28),Assumptions!$H$83/ROUNDUP((Assumptions!$H$27/12),0),0)</f>
        <v>0</v>
      </c>
      <c r="G31" s="42">
        <f>+IF(AND(G30&gt;=Assumptions!$H$26,G30&lt;Assumptions!$H$28),Assumptions!$H$83/ROUNDUP((Assumptions!$H$27/12),0),0)</f>
        <v>0</v>
      </c>
      <c r="H31" s="42">
        <f>+IF(AND(H30&gt;=Assumptions!$H$26,H30&lt;Assumptions!$H$28),Assumptions!$H$83/ROUNDUP((Assumptions!$H$27/12),0),0)</f>
        <v>0</v>
      </c>
      <c r="I31" s="42">
        <f>+IF(AND(I30&gt;=Assumptions!$H$26,I30&lt;Assumptions!$H$28),Assumptions!$H$83/ROUNDUP((Assumptions!$H$27/12),0),0)</f>
        <v>182724.71345282008</v>
      </c>
      <c r="J31" s="42">
        <f>+IF(AND(J30&gt;=Assumptions!$H$26,J30&lt;Assumptions!$H$28),Assumptions!$H$83/ROUNDUP((Assumptions!$H$27/12),0),0)</f>
        <v>182724.71345282008</v>
      </c>
      <c r="K31" s="42">
        <f>+IF(AND(K30&gt;=Assumptions!$H$26,K30&lt;Assumptions!$H$28),Assumptions!$H$83/ROUNDUP((Assumptions!$H$27/12),0),0)</f>
        <v>0</v>
      </c>
      <c r="L31" s="42">
        <f>+IF(AND(L30&gt;=Assumptions!$H$26,L30&lt;Assumptions!$H$28),Assumptions!$H$83/ROUNDUP((Assumptions!$H$27/12),0),0)</f>
        <v>0</v>
      </c>
      <c r="M31" s="42">
        <f>+IF(AND(M30&gt;=Assumptions!$H$26,M30&lt;Assumptions!$H$28),Assumptions!$H$83/ROUNDUP((Assumptions!$H$27/12),0),0)</f>
        <v>0</v>
      </c>
      <c r="N31" s="42">
        <f>+IF(AND(N30&gt;=Assumptions!$H$26,N30&lt;Assumptions!$H$28),Assumptions!$H$83/ROUNDUP((Assumptions!$H$27/12),0),0)</f>
        <v>0</v>
      </c>
      <c r="O31" s="42">
        <f>+IF(AND(O30&gt;=Assumptions!$H$26,O30&lt;Assumptions!$H$28),Assumptions!$H$83/ROUNDUP((Assumptions!$H$27/12),0),0)</f>
        <v>0</v>
      </c>
      <c r="P31" s="42">
        <f>+IF(AND(P30&gt;=Assumptions!$H$26,P30&lt;Assumptions!$H$28),Assumptions!$H$83/ROUNDUP((Assumptions!$H$27/12),0),0)</f>
        <v>0</v>
      </c>
      <c r="Q31" s="42">
        <f>+IF(AND(Q30&gt;=Assumptions!$H$26,Q30&lt;Assumptions!$H$28),Assumptions!$H$83/ROUNDUP((Assumptions!$H$27/12),0),0)</f>
        <v>0</v>
      </c>
      <c r="R31" s="42">
        <f>+IF(AND(R30&gt;=Assumptions!$H$26,R30&lt;Assumptions!$H$28),Assumptions!$H$83/ROUNDUP((Assumptions!$H$27/12),0),0)</f>
        <v>0</v>
      </c>
      <c r="S31" s="42">
        <f>+IF(AND(S30&gt;=Assumptions!$H$26,S30&lt;Assumptions!$H$28),Assumptions!$H$83/ROUNDUP((Assumptions!$H$27/12),0),0)</f>
        <v>0</v>
      </c>
      <c r="T31" s="42">
        <f>+IF(AND(T30&gt;=Assumptions!$H$26,T30&lt;Assumptions!$H$28),Assumptions!$H$83/ROUNDUP((Assumptions!$H$27/12),0),0)</f>
        <v>0</v>
      </c>
      <c r="U31" s="42">
        <f>+IF(AND(U30&gt;=Assumptions!$H$26,U30&lt;Assumptions!$H$28),Assumptions!$H$83/ROUNDUP((Assumptions!$H$27/12),0),0)</f>
        <v>0</v>
      </c>
      <c r="V31" s="42">
        <f>+IF(AND(V30&gt;=Assumptions!$H$26,V30&lt;Assumptions!$H$28),Assumptions!$H$83/ROUNDUP((Assumptions!$H$27/12),0),0)</f>
        <v>0</v>
      </c>
      <c r="W31" s="42">
        <f>+IF(AND(W30&gt;=Assumptions!$H$26,W30&lt;Assumptions!$H$28),Assumptions!$H$83/ROUNDUP((Assumptions!$H$27/12),0),0)</f>
        <v>0</v>
      </c>
      <c r="X31" s="42">
        <f>+IF(AND(X30&gt;=Assumptions!$H$26,X30&lt;Assumptions!$H$28),Assumptions!$H$83/ROUNDUP((Assumptions!$H$27/12),0),0)</f>
        <v>0</v>
      </c>
      <c r="Y31" s="42">
        <f>+IF(AND(Y30&gt;=Assumptions!$H$26,Y30&lt;Assumptions!$H$28),Assumptions!$H$83/ROUNDUP((Assumptions!$H$27/12),0),0)</f>
        <v>0</v>
      </c>
      <c r="Z31" s="42">
        <f>+IF(AND(Z30&gt;=Assumptions!$H$26,Z30&lt;Assumptions!$H$28),Assumptions!$H$83/ROUNDUP((Assumptions!$H$27/12),0),0)</f>
        <v>0</v>
      </c>
    </row>
    <row r="32" spans="2:26" x14ac:dyDescent="0.35">
      <c r="B32" s="33" t="s">
        <v>249</v>
      </c>
      <c r="C32" s="33"/>
      <c r="D32" s="42">
        <v>0</v>
      </c>
      <c r="E32" s="42"/>
      <c r="F32" s="42">
        <f>+D32+F31</f>
        <v>0</v>
      </c>
      <c r="G32" s="42">
        <f t="shared" ref="G32:Z32" si="10">+F32+G31</f>
        <v>0</v>
      </c>
      <c r="H32" s="42">
        <f t="shared" si="10"/>
        <v>0</v>
      </c>
      <c r="I32" s="42">
        <f t="shared" si="10"/>
        <v>182724.71345282008</v>
      </c>
      <c r="J32" s="42">
        <f t="shared" si="10"/>
        <v>365449.42690564017</v>
      </c>
      <c r="K32" s="42">
        <f t="shared" si="10"/>
        <v>365449.42690564017</v>
      </c>
      <c r="L32" s="42">
        <f t="shared" si="10"/>
        <v>365449.42690564017</v>
      </c>
      <c r="M32" s="42">
        <f t="shared" si="10"/>
        <v>365449.42690564017</v>
      </c>
      <c r="N32" s="42">
        <f t="shared" si="10"/>
        <v>365449.42690564017</v>
      </c>
      <c r="O32" s="42">
        <f t="shared" si="10"/>
        <v>365449.42690564017</v>
      </c>
      <c r="P32" s="42">
        <f t="shared" si="10"/>
        <v>365449.42690564017</v>
      </c>
      <c r="Q32" s="42">
        <f t="shared" si="10"/>
        <v>365449.42690564017</v>
      </c>
      <c r="R32" s="42">
        <f t="shared" si="10"/>
        <v>365449.42690564017</v>
      </c>
      <c r="S32" s="42">
        <f t="shared" si="10"/>
        <v>365449.42690564017</v>
      </c>
      <c r="T32" s="42">
        <f t="shared" si="10"/>
        <v>365449.42690564017</v>
      </c>
      <c r="U32" s="42">
        <f t="shared" si="10"/>
        <v>365449.42690564017</v>
      </c>
      <c r="V32" s="42">
        <f t="shared" si="10"/>
        <v>365449.42690564017</v>
      </c>
      <c r="W32" s="42">
        <f t="shared" si="10"/>
        <v>365449.42690564017</v>
      </c>
      <c r="X32" s="42">
        <f t="shared" si="10"/>
        <v>365449.42690564017</v>
      </c>
      <c r="Y32" s="42">
        <f t="shared" si="10"/>
        <v>365449.42690564017</v>
      </c>
      <c r="Z32" s="42">
        <f t="shared" si="10"/>
        <v>365449.42690564017</v>
      </c>
    </row>
    <row r="33" spans="2:26" x14ac:dyDescent="0.35">
      <c r="B33" s="33" t="s">
        <v>496</v>
      </c>
      <c r="C33" s="33"/>
      <c r="D33" s="42"/>
      <c r="E33" s="42"/>
      <c r="F33" s="42">
        <f>+F34-E34</f>
        <v>0</v>
      </c>
      <c r="G33" s="42">
        <f t="shared" ref="G33:Z33" si="11">+G34-F34</f>
        <v>0</v>
      </c>
      <c r="H33" s="42">
        <f t="shared" si="11"/>
        <v>0</v>
      </c>
      <c r="I33" s="42">
        <f t="shared" si="11"/>
        <v>250.00063067863113</v>
      </c>
      <c r="J33" s="42">
        <f t="shared" si="11"/>
        <v>250.00063067863113</v>
      </c>
      <c r="K33" s="42">
        <f t="shared" si="11"/>
        <v>0</v>
      </c>
      <c r="L33" s="42">
        <f t="shared" si="11"/>
        <v>0</v>
      </c>
      <c r="M33" s="42">
        <f t="shared" si="11"/>
        <v>0</v>
      </c>
      <c r="N33" s="42">
        <f t="shared" si="11"/>
        <v>0</v>
      </c>
      <c r="O33" s="42">
        <f t="shared" si="11"/>
        <v>0</v>
      </c>
      <c r="P33" s="42">
        <f t="shared" si="11"/>
        <v>0</v>
      </c>
      <c r="Q33" s="42">
        <f t="shared" si="11"/>
        <v>0</v>
      </c>
      <c r="R33" s="42">
        <f t="shared" si="11"/>
        <v>0</v>
      </c>
      <c r="S33" s="42">
        <f t="shared" si="11"/>
        <v>0</v>
      </c>
      <c r="T33" s="42">
        <f t="shared" si="11"/>
        <v>0</v>
      </c>
      <c r="U33" s="42">
        <f t="shared" si="11"/>
        <v>0</v>
      </c>
      <c r="V33" s="42">
        <f t="shared" si="11"/>
        <v>0</v>
      </c>
      <c r="W33" s="42">
        <f t="shared" si="11"/>
        <v>0</v>
      </c>
      <c r="X33" s="42">
        <f t="shared" si="11"/>
        <v>0</v>
      </c>
      <c r="Y33" s="42">
        <f t="shared" si="11"/>
        <v>0</v>
      </c>
      <c r="Z33" s="42">
        <f t="shared" si="11"/>
        <v>0</v>
      </c>
    </row>
    <row r="34" spans="2:26" x14ac:dyDescent="0.35">
      <c r="B34" s="33" t="s">
        <v>250</v>
      </c>
      <c r="C34" s="33"/>
      <c r="D34" s="42"/>
      <c r="E34" s="42"/>
      <c r="F34" s="42">
        <f>+F35*Assumptions!$H$84</f>
        <v>0</v>
      </c>
      <c r="G34" s="42">
        <f>+G35*Assumptions!$H$84</f>
        <v>0</v>
      </c>
      <c r="H34" s="42">
        <f>+H35*Assumptions!$H$84</f>
        <v>0</v>
      </c>
      <c r="I34" s="42">
        <f>+I35*Assumptions!$H$84</f>
        <v>250.00063067863113</v>
      </c>
      <c r="J34" s="42">
        <f>+J35*Assumptions!$H$84</f>
        <v>500.00126135726225</v>
      </c>
      <c r="K34" s="42">
        <f>+K35*Assumptions!$H$84</f>
        <v>500.00126135726225</v>
      </c>
      <c r="L34" s="42">
        <f>+L35*Assumptions!$H$84</f>
        <v>500.00126135726225</v>
      </c>
      <c r="M34" s="42">
        <f>+M35*Assumptions!$H$84</f>
        <v>500.00126135726225</v>
      </c>
      <c r="N34" s="42">
        <f>+N35*Assumptions!$H$84</f>
        <v>500.00126135726225</v>
      </c>
      <c r="O34" s="42">
        <f>+O35*Assumptions!$H$84</f>
        <v>500.00126135726225</v>
      </c>
      <c r="P34" s="42">
        <f>+P35*Assumptions!$H$84</f>
        <v>500.00126135726225</v>
      </c>
      <c r="Q34" s="42">
        <f>+Q35*Assumptions!$H$84</f>
        <v>500.00126135726225</v>
      </c>
      <c r="R34" s="42">
        <f>+R35*Assumptions!$H$84</f>
        <v>500.00126135726225</v>
      </c>
      <c r="S34" s="42">
        <f>+S35*Assumptions!$H$84</f>
        <v>500.00126135726225</v>
      </c>
      <c r="T34" s="42">
        <f>+T35*Assumptions!$H$84</f>
        <v>500.00126135726225</v>
      </c>
      <c r="U34" s="42">
        <f>+U35*Assumptions!$H$84</f>
        <v>500.00126135726225</v>
      </c>
      <c r="V34" s="42">
        <f>+V35*Assumptions!$H$84</f>
        <v>500.00126135726225</v>
      </c>
      <c r="W34" s="42">
        <f>+W35*Assumptions!$H$84</f>
        <v>500.00126135726225</v>
      </c>
      <c r="X34" s="42">
        <f>+X35*Assumptions!$H$84</f>
        <v>500.00126135726225</v>
      </c>
      <c r="Y34" s="42">
        <f>+Y35*Assumptions!$H$84</f>
        <v>500.00126135726225</v>
      </c>
      <c r="Z34" s="42">
        <f>+Z35*Assumptions!$H$84</f>
        <v>500.00126135726225</v>
      </c>
    </row>
    <row r="35" spans="2:26" x14ac:dyDescent="0.35">
      <c r="B35" s="33" t="s">
        <v>306</v>
      </c>
      <c r="C35" s="33"/>
      <c r="D35" s="42"/>
      <c r="E35" s="42"/>
      <c r="F35" s="108">
        <f>+F32/SUM($F31:$Z31)</f>
        <v>0</v>
      </c>
      <c r="G35" s="108">
        <f t="shared" ref="G35:Z35" si="12">+G32/SUM($F31:$Z31)</f>
        <v>0</v>
      </c>
      <c r="H35" s="108">
        <f t="shared" si="12"/>
        <v>0</v>
      </c>
      <c r="I35" s="108">
        <f t="shared" si="12"/>
        <v>0.5</v>
      </c>
      <c r="J35" s="108">
        <f t="shared" si="12"/>
        <v>1</v>
      </c>
      <c r="K35" s="108">
        <f t="shared" si="12"/>
        <v>1</v>
      </c>
      <c r="L35" s="108">
        <f t="shared" si="12"/>
        <v>1</v>
      </c>
      <c r="M35" s="108">
        <f t="shared" si="12"/>
        <v>1</v>
      </c>
      <c r="N35" s="108">
        <f t="shared" si="12"/>
        <v>1</v>
      </c>
      <c r="O35" s="108">
        <f t="shared" si="12"/>
        <v>1</v>
      </c>
      <c r="P35" s="108">
        <f t="shared" si="12"/>
        <v>1</v>
      </c>
      <c r="Q35" s="108">
        <f t="shared" si="12"/>
        <v>1</v>
      </c>
      <c r="R35" s="108">
        <f t="shared" si="12"/>
        <v>1</v>
      </c>
      <c r="S35" s="108">
        <f t="shared" si="12"/>
        <v>1</v>
      </c>
      <c r="T35" s="108">
        <f t="shared" si="12"/>
        <v>1</v>
      </c>
      <c r="U35" s="108">
        <f t="shared" si="12"/>
        <v>1</v>
      </c>
      <c r="V35" s="108">
        <f t="shared" si="12"/>
        <v>1</v>
      </c>
      <c r="W35" s="108">
        <f t="shared" si="12"/>
        <v>1</v>
      </c>
      <c r="X35" s="108">
        <f t="shared" si="12"/>
        <v>1</v>
      </c>
      <c r="Y35" s="108">
        <f t="shared" si="12"/>
        <v>1</v>
      </c>
      <c r="Z35" s="108">
        <f t="shared" si="12"/>
        <v>1</v>
      </c>
    </row>
    <row r="36" spans="2:26" x14ac:dyDescent="0.35">
      <c r="B36" s="33"/>
      <c r="C36" s="33"/>
      <c r="D36" s="40"/>
      <c r="E36" s="40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2:26" x14ac:dyDescent="0.35">
      <c r="B37" s="33" t="s">
        <v>254</v>
      </c>
      <c r="C37" s="33"/>
      <c r="D37" s="42"/>
      <c r="E37" s="42"/>
      <c r="F37" s="108">
        <v>1</v>
      </c>
      <c r="G37" s="108">
        <f>+F37*(1+Assumptions!$P$64)</f>
        <v>1.03</v>
      </c>
      <c r="H37" s="108">
        <f>+G37*(1+Assumptions!$P$64)</f>
        <v>1.0609</v>
      </c>
      <c r="I37" s="108">
        <f>+H37*(1+Assumptions!$P$64)</f>
        <v>1.092727</v>
      </c>
      <c r="J37" s="108">
        <f>+I37*(1+Assumptions!$P$64)</f>
        <v>1.1255088100000001</v>
      </c>
      <c r="K37" s="108">
        <f>+J37*(1+Assumptions!$P$64)</f>
        <v>1.1592740743000001</v>
      </c>
      <c r="L37" s="108">
        <f>+K37*(1+Assumptions!$P$64)</f>
        <v>1.1940522965290001</v>
      </c>
      <c r="M37" s="108">
        <f>+L37*(1+Assumptions!$P$64)</f>
        <v>1.2298738654248702</v>
      </c>
      <c r="N37" s="108">
        <f>+M37*(1+Assumptions!$P$64)</f>
        <v>1.2667700813876164</v>
      </c>
      <c r="O37" s="108">
        <f>+N37*(1+Assumptions!$P$64)</f>
        <v>1.3047731838292449</v>
      </c>
      <c r="P37" s="108">
        <f>+O37*(1+Assumptions!$P$64)</f>
        <v>1.3439163793441222</v>
      </c>
      <c r="Q37" s="108">
        <f>+P37*(1+Assumptions!$P$64)</f>
        <v>1.3842338707244459</v>
      </c>
      <c r="R37" s="108">
        <f>+Q37*(1+Assumptions!$P$64)</f>
        <v>1.4257608868461793</v>
      </c>
      <c r="S37" s="108">
        <f>+R37*(1+Assumptions!$P$64)</f>
        <v>1.4685337134515648</v>
      </c>
      <c r="T37" s="108">
        <f>+S37*(1+Assumptions!$P$64)</f>
        <v>1.5125897248551119</v>
      </c>
      <c r="U37" s="108">
        <f>+T37*(1+Assumptions!$P$64)</f>
        <v>1.5579674166007653</v>
      </c>
      <c r="V37" s="108">
        <f>+U37*(1+Assumptions!$P$64)</f>
        <v>1.6047064390987884</v>
      </c>
      <c r="W37" s="108">
        <f>+V37*(1+Assumptions!$P$64)</f>
        <v>1.652847632271752</v>
      </c>
      <c r="X37" s="108">
        <f>+W37*(1+Assumptions!$P$64)</f>
        <v>1.7024330612399046</v>
      </c>
      <c r="Y37" s="108">
        <f>+X37*(1+Assumptions!$P$64)</f>
        <v>1.7535060530771018</v>
      </c>
      <c r="Z37" s="108">
        <f>+Y37*(1+Assumptions!$P$64)</f>
        <v>1.806111234669415</v>
      </c>
    </row>
    <row r="38" spans="2:26" x14ac:dyDescent="0.35">
      <c r="B38" s="33" t="s">
        <v>255</v>
      </c>
      <c r="C38" s="33"/>
      <c r="D38" s="42"/>
      <c r="E38" s="42"/>
      <c r="F38" s="108">
        <v>1</v>
      </c>
      <c r="G38" s="108">
        <f>+F38*(1+Assumptions!$P$77)</f>
        <v>1.03</v>
      </c>
      <c r="H38" s="108">
        <f>+G38*(1+Assumptions!$P$77)</f>
        <v>1.0609</v>
      </c>
      <c r="I38" s="108">
        <f>+H38*(1+Assumptions!$P$77)</f>
        <v>1.092727</v>
      </c>
      <c r="J38" s="108">
        <f>+I38*(1+Assumptions!$P$77)</f>
        <v>1.1255088100000001</v>
      </c>
      <c r="K38" s="108">
        <f>+J38*(1+Assumptions!$P$77)</f>
        <v>1.1592740743000001</v>
      </c>
      <c r="L38" s="108">
        <f>+K38*(1+Assumptions!$P$77)</f>
        <v>1.1940522965290001</v>
      </c>
      <c r="M38" s="108">
        <f>+L38*(1+Assumptions!$P$77)</f>
        <v>1.2298738654248702</v>
      </c>
      <c r="N38" s="108">
        <f>+M38*(1+Assumptions!$P$77)</f>
        <v>1.2667700813876164</v>
      </c>
      <c r="O38" s="108">
        <f>+N38*(1+Assumptions!$P$77)</f>
        <v>1.3047731838292449</v>
      </c>
      <c r="P38" s="108">
        <f>+O38*(1+Assumptions!$P$77)</f>
        <v>1.3439163793441222</v>
      </c>
      <c r="Q38" s="108">
        <f>+P38*(1+Assumptions!$P$77)</f>
        <v>1.3842338707244459</v>
      </c>
      <c r="R38" s="108">
        <f>+Q38*(1+Assumptions!$P$77)</f>
        <v>1.4257608868461793</v>
      </c>
      <c r="S38" s="108">
        <f>+R38*(1+Assumptions!$P$77)</f>
        <v>1.4685337134515648</v>
      </c>
      <c r="T38" s="108">
        <f>+S38*(1+Assumptions!$P$77)</f>
        <v>1.5125897248551119</v>
      </c>
      <c r="U38" s="108">
        <f>+T38*(1+Assumptions!$P$77)</f>
        <v>1.5579674166007653</v>
      </c>
      <c r="V38" s="108">
        <f>+U38*(1+Assumptions!$P$77)</f>
        <v>1.6047064390987884</v>
      </c>
      <c r="W38" s="108">
        <f>+V38*(1+Assumptions!$P$77)</f>
        <v>1.652847632271752</v>
      </c>
      <c r="X38" s="108">
        <f>+W38*(1+Assumptions!$P$77)</f>
        <v>1.7024330612399046</v>
      </c>
      <c r="Y38" s="108">
        <f>+X38*(1+Assumptions!$P$77)</f>
        <v>1.7535060530771018</v>
      </c>
      <c r="Z38" s="108">
        <f>+Y38*(1+Assumptions!$P$77)</f>
        <v>1.806111234669415</v>
      </c>
    </row>
    <row r="39" spans="2:26" x14ac:dyDescent="0.35">
      <c r="B39" s="33"/>
      <c r="C39" s="33"/>
      <c r="D39" s="40"/>
      <c r="E39" s="40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2:26" x14ac:dyDescent="0.35">
      <c r="B40" s="33" t="s">
        <v>246</v>
      </c>
      <c r="C40" s="33"/>
      <c r="D40" s="40"/>
      <c r="E40" s="40"/>
      <c r="F40" s="34">
        <f>+F35*Assumptions!$H$82*F37</f>
        <v>0</v>
      </c>
      <c r="G40" s="34">
        <f>+G35*Assumptions!$H$82*G37</f>
        <v>0</v>
      </c>
      <c r="H40" s="34">
        <f>+H35*Assumptions!$H$82*H37</f>
        <v>0</v>
      </c>
      <c r="I40" s="34">
        <f>+I35*Assumptions!$H$82*I37</f>
        <v>6232718.6983090518</v>
      </c>
      <c r="J40" s="34">
        <f>+J35*Assumptions!$H$82*J37</f>
        <v>12839400.518516649</v>
      </c>
      <c r="K40" s="34">
        <f>+K35*Assumptions!$H$82*K37</f>
        <v>13224582.534072148</v>
      </c>
      <c r="L40" s="34">
        <f>+L35*Assumptions!$H$82*L37</f>
        <v>13621320.010094313</v>
      </c>
      <c r="M40" s="34">
        <f>+M35*Assumptions!$H$82*M37</f>
        <v>14029959.610397143</v>
      </c>
      <c r="N40" s="34">
        <f>+N35*Assumptions!$H$82*N37</f>
        <v>14450858.398709057</v>
      </c>
      <c r="O40" s="34">
        <f>+O35*Assumptions!$H$82*O37</f>
        <v>14884384.150670329</v>
      </c>
      <c r="P40" s="34">
        <f>+P35*Assumptions!$H$82*P37</f>
        <v>15330915.675190439</v>
      </c>
      <c r="Q40" s="34">
        <f>+Q35*Assumptions!$H$82*Q37</f>
        <v>15790843.145446153</v>
      </c>
      <c r="R40" s="34">
        <f>+R35*Assumptions!$H$82*R37</f>
        <v>16264568.439809538</v>
      </c>
      <c r="S40" s="34">
        <f>+S35*Assumptions!$H$82*S37</f>
        <v>16752505.493003825</v>
      </c>
      <c r="T40" s="34">
        <f>+T35*Assumptions!$H$82*T37</f>
        <v>17255080.657793943</v>
      </c>
      <c r="U40" s="34">
        <f>+U35*Assumptions!$H$82*U37</f>
        <v>17772733.077527761</v>
      </c>
      <c r="V40" s="34">
        <f>+V35*Assumptions!$H$82*V37</f>
        <v>18305915.069853596</v>
      </c>
      <c r="W40" s="34">
        <f>+W35*Assumptions!$H$82*W37</f>
        <v>18855092.521949202</v>
      </c>
      <c r="X40" s="34">
        <f>+X35*Assumptions!$H$82*X37</f>
        <v>19420745.297607679</v>
      </c>
      <c r="Y40" s="34">
        <f>+Y35*Assumptions!$H$82*Y37</f>
        <v>20003367.656535909</v>
      </c>
      <c r="Z40" s="34">
        <f>+Z35*Assumptions!$H$82*Z37</f>
        <v>20603468.686231989</v>
      </c>
    </row>
    <row r="41" spans="2:26" x14ac:dyDescent="0.35">
      <c r="B41" s="33" t="s">
        <v>247</v>
      </c>
      <c r="C41" s="33"/>
      <c r="D41" s="40"/>
      <c r="E41" s="40"/>
      <c r="F41" s="42">
        <f>-F40*Assumptions!$P$55</f>
        <v>0</v>
      </c>
      <c r="G41" s="42">
        <f>-G40*Assumptions!$P$55</f>
        <v>0</v>
      </c>
      <c r="H41" s="42">
        <f>-H40*Assumptions!$P$55</f>
        <v>0</v>
      </c>
      <c r="I41" s="42">
        <f>-I40*Assumptions!$P$55</f>
        <v>-311635.93491545261</v>
      </c>
      <c r="J41" s="42">
        <f>-J40*Assumptions!$P$55</f>
        <v>-641970.02592583245</v>
      </c>
      <c r="K41" s="42">
        <f>-K40*Assumptions!$P$55</f>
        <v>-661229.12670360738</v>
      </c>
      <c r="L41" s="42">
        <f>-L40*Assumptions!$P$55</f>
        <v>-681066.00050471572</v>
      </c>
      <c r="M41" s="42">
        <f>-M40*Assumptions!$P$55</f>
        <v>-701497.98051985726</v>
      </c>
      <c r="N41" s="42">
        <f>-N40*Assumptions!$P$55</f>
        <v>-722542.91993545287</v>
      </c>
      <c r="O41" s="42">
        <f>-O40*Assumptions!$P$55</f>
        <v>-744219.20753351646</v>
      </c>
      <c r="P41" s="42">
        <f>-P40*Assumptions!$P$55</f>
        <v>-766545.78375952202</v>
      </c>
      <c r="Q41" s="42">
        <f>-Q40*Assumptions!$P$55</f>
        <v>-789542.15727230767</v>
      </c>
      <c r="R41" s="42">
        <f>-R40*Assumptions!$P$55</f>
        <v>-813228.42199047701</v>
      </c>
      <c r="S41" s="42">
        <f>-S40*Assumptions!$P$55</f>
        <v>-837625.27465019131</v>
      </c>
      <c r="T41" s="42">
        <f>-T40*Assumptions!$P$55</f>
        <v>-862754.03288969724</v>
      </c>
      <c r="U41" s="42">
        <f>-U40*Assumptions!$P$55</f>
        <v>-888636.6538763881</v>
      </c>
      <c r="V41" s="42">
        <f>-V40*Assumptions!$P$55</f>
        <v>-915295.75349267991</v>
      </c>
      <c r="W41" s="42">
        <f>-W40*Assumptions!$P$55</f>
        <v>-942754.62609746016</v>
      </c>
      <c r="X41" s="42">
        <f>-X40*Assumptions!$P$55</f>
        <v>-971037.26488038397</v>
      </c>
      <c r="Y41" s="42">
        <f>-Y40*Assumptions!$P$55</f>
        <v>-1000168.3828267955</v>
      </c>
      <c r="Z41" s="42">
        <f>-Z40*Assumptions!$P$55</f>
        <v>-1030173.4343115995</v>
      </c>
    </row>
    <row r="42" spans="2:26" x14ac:dyDescent="0.35">
      <c r="B42" s="33" t="s">
        <v>350</v>
      </c>
      <c r="C42" s="33"/>
      <c r="D42" s="40"/>
      <c r="E42" s="40"/>
      <c r="F42" s="151">
        <f>+F34*Assumptions!$H$90*(1-Assumptions!$P$55)*12</f>
        <v>0</v>
      </c>
      <c r="G42" s="151">
        <f>+G34*Assumptions!$H$90*(1-Assumptions!$P$55)*12</f>
        <v>0</v>
      </c>
      <c r="H42" s="151">
        <f>+H34*Assumptions!$H$90*(1-Assumptions!$P$55)*12</f>
        <v>0</v>
      </c>
      <c r="I42" s="151">
        <f>+I34*Assumptions!$H$90*(1-Assumptions!$P$55)*12</f>
        <v>156750.3954355017</v>
      </c>
      <c r="J42" s="151">
        <f>+J34*Assumptions!$H$90*(1-Assumptions!$P$55)*12</f>
        <v>313500.79087100341</v>
      </c>
      <c r="K42" s="151">
        <f>+K34*Assumptions!$H$90*(1-Assumptions!$P$55)*12</f>
        <v>313500.79087100341</v>
      </c>
      <c r="L42" s="151">
        <f>+L34*Assumptions!$H$90*(1-Assumptions!$P$55)*12</f>
        <v>313500.79087100341</v>
      </c>
      <c r="M42" s="151">
        <f>+M34*Assumptions!$H$90*(1-Assumptions!$P$55)*12</f>
        <v>313500.79087100341</v>
      </c>
      <c r="N42" s="151">
        <f>+N34*Assumptions!$H$90*(1-Assumptions!$P$55)*12</f>
        <v>313500.79087100341</v>
      </c>
      <c r="O42" s="151">
        <f>+O34*Assumptions!$H$90*(1-Assumptions!$P$55)*12</f>
        <v>313500.79087100341</v>
      </c>
      <c r="P42" s="151">
        <f>+P34*Assumptions!$H$90*(1-Assumptions!$P$55)*12</f>
        <v>313500.79087100341</v>
      </c>
      <c r="Q42" s="151">
        <f>+Q34*Assumptions!$H$90*(1-Assumptions!$P$55)*12</f>
        <v>313500.79087100341</v>
      </c>
      <c r="R42" s="151">
        <f>+R34*Assumptions!$H$90*(1-Assumptions!$P$55)*12</f>
        <v>313500.79087100341</v>
      </c>
      <c r="S42" s="151">
        <f>+S34*Assumptions!$H$90*(1-Assumptions!$P$55)*12</f>
        <v>313500.79087100341</v>
      </c>
      <c r="T42" s="151">
        <f>+T34*Assumptions!$H$90*(1-Assumptions!$P$55)*12</f>
        <v>313500.79087100341</v>
      </c>
      <c r="U42" s="151">
        <f>+U34*Assumptions!$H$90*(1-Assumptions!$P$55)*12</f>
        <v>313500.79087100341</v>
      </c>
      <c r="V42" s="151">
        <f>+V34*Assumptions!$H$90*(1-Assumptions!$P$55)*12</f>
        <v>313500.79087100341</v>
      </c>
      <c r="W42" s="151">
        <f>+W34*Assumptions!$H$90*(1-Assumptions!$P$55)*12</f>
        <v>313500.79087100341</v>
      </c>
      <c r="X42" s="151">
        <f>+X34*Assumptions!$H$90*(1-Assumptions!$P$55)*12</f>
        <v>313500.79087100341</v>
      </c>
      <c r="Y42" s="151">
        <f>+Y34*Assumptions!$H$90*(1-Assumptions!$P$55)*12</f>
        <v>313500.79087100341</v>
      </c>
      <c r="Z42" s="151">
        <f>+Z34*Assumptions!$H$90*(1-Assumptions!$P$55)*12</f>
        <v>313500.79087100341</v>
      </c>
    </row>
    <row r="43" spans="2:26" x14ac:dyDescent="0.35">
      <c r="B43" s="137" t="s">
        <v>256</v>
      </c>
      <c r="C43" s="137"/>
      <c r="D43" s="137"/>
      <c r="E43" s="137"/>
      <c r="F43" s="129">
        <f t="shared" ref="F43:Z43" si="13">+SUM(F40:F42)</f>
        <v>0</v>
      </c>
      <c r="G43" s="129">
        <f t="shared" si="13"/>
        <v>0</v>
      </c>
      <c r="H43" s="129">
        <f t="shared" si="13"/>
        <v>0</v>
      </c>
      <c r="I43" s="129">
        <f t="shared" si="13"/>
        <v>6077833.1588291014</v>
      </c>
      <c r="J43" s="129">
        <f t="shared" si="13"/>
        <v>12510931.28346182</v>
      </c>
      <c r="K43" s="129">
        <f t="shared" si="13"/>
        <v>12876854.198239544</v>
      </c>
      <c r="L43" s="129">
        <f t="shared" si="13"/>
        <v>13253754.800460601</v>
      </c>
      <c r="M43" s="129">
        <f t="shared" si="13"/>
        <v>13641962.42074829</v>
      </c>
      <c r="N43" s="129">
        <f t="shared" si="13"/>
        <v>14041816.269644607</v>
      </c>
      <c r="O43" s="129">
        <f t="shared" si="13"/>
        <v>14453665.734007817</v>
      </c>
      <c r="P43" s="129">
        <f t="shared" si="13"/>
        <v>14877870.682301922</v>
      </c>
      <c r="Q43" s="129">
        <f t="shared" si="13"/>
        <v>15314801.77904485</v>
      </c>
      <c r="R43" s="129">
        <f t="shared" si="13"/>
        <v>15764840.808690066</v>
      </c>
      <c r="S43" s="129">
        <f t="shared" si="13"/>
        <v>16228381.009224636</v>
      </c>
      <c r="T43" s="129">
        <f t="shared" si="13"/>
        <v>16705827.415775249</v>
      </c>
      <c r="U43" s="129">
        <f t="shared" si="13"/>
        <v>17197597.214522377</v>
      </c>
      <c r="V43" s="129">
        <f t="shared" si="13"/>
        <v>17704120.107231919</v>
      </c>
      <c r="W43" s="129">
        <f t="shared" si="13"/>
        <v>18225838.686722744</v>
      </c>
      <c r="X43" s="129">
        <f t="shared" si="13"/>
        <v>18763208.823598295</v>
      </c>
      <c r="Y43" s="129">
        <f t="shared" si="13"/>
        <v>19316700.064580116</v>
      </c>
      <c r="Z43" s="129">
        <f t="shared" si="13"/>
        <v>19886796.042791393</v>
      </c>
    </row>
    <row r="45" spans="2:26" x14ac:dyDescent="0.35">
      <c r="B45" s="33" t="s">
        <v>395</v>
      </c>
      <c r="F45" s="34">
        <f>+F34*Assumptions!$P$96*F38</f>
        <v>0</v>
      </c>
      <c r="G45" s="34">
        <f>+G34*Assumptions!$P$96*G38</f>
        <v>0</v>
      </c>
      <c r="H45" s="34">
        <f>+H34*Assumptions!$P$96*H38</f>
        <v>0</v>
      </c>
      <c r="I45" s="34">
        <f>+I34*Assumptions!$P$96*I38</f>
        <v>1774208.7461613624</v>
      </c>
      <c r="J45" s="34">
        <f>+J34*Assumptions!$P$96*J38</f>
        <v>3654870.0170924067</v>
      </c>
      <c r="K45" s="34">
        <f>+K34*Assumptions!$P$96*K38</f>
        <v>3764516.1176051786</v>
      </c>
      <c r="L45" s="34">
        <f>+L34*Assumptions!$P$96*L38</f>
        <v>3877451.6011333345</v>
      </c>
      <c r="M45" s="34">
        <f>+M34*Assumptions!$P$96*M38</f>
        <v>3993775.1491673347</v>
      </c>
      <c r="N45" s="34">
        <f>+N34*Assumptions!$P$96*N38</f>
        <v>4113588.403642355</v>
      </c>
      <c r="O45" s="34">
        <f>+O34*Assumptions!$P$96*O38</f>
        <v>4236996.0557516254</v>
      </c>
      <c r="P45" s="34">
        <f>+P34*Assumptions!$P$96*P38</f>
        <v>4364105.9374241745</v>
      </c>
      <c r="Q45" s="34">
        <f>+Q34*Assumptions!$P$96*Q38</f>
        <v>4495029.1155468998</v>
      </c>
      <c r="R45" s="34">
        <f>+R34*Assumptions!$P$96*R38</f>
        <v>4629879.9890133068</v>
      </c>
      <c r="S45" s="34">
        <f>+S34*Assumptions!$P$96*S38</f>
        <v>4768776.3886837065</v>
      </c>
      <c r="T45" s="34">
        <f>+T34*Assumptions!$P$96*T38</f>
        <v>4911839.6803442175</v>
      </c>
      <c r="U45" s="34">
        <f>+U34*Assumptions!$P$96*U38</f>
        <v>5059194.8707545446</v>
      </c>
      <c r="V45" s="34">
        <f>+V34*Assumptions!$P$96*V38</f>
        <v>5210970.7168771811</v>
      </c>
      <c r="W45" s="34">
        <f>+W34*Assumptions!$P$96*W38</f>
        <v>5367299.8383834967</v>
      </c>
      <c r="X45" s="34">
        <f>+X34*Assumptions!$P$96*X38</f>
        <v>5528318.8335350016</v>
      </c>
      <c r="Y45" s="34">
        <f>+Y34*Assumptions!$P$96*Y38</f>
        <v>5694168.3985410519</v>
      </c>
      <c r="Z45" s="34">
        <f>+Z34*Assumptions!$P$96*Z38</f>
        <v>5864993.4504972845</v>
      </c>
    </row>
    <row r="46" spans="2:26" x14ac:dyDescent="0.35">
      <c r="B46" s="33" t="s">
        <v>331</v>
      </c>
      <c r="F46" s="151">
        <f ca="1">+IFERROR(INDEX('Taxes and TIF'!$AR$11:$AR$45,MATCH('Phase III Pro Forma'!F$7,'Taxes and TIF'!$AG$11:$AG$45,0)),0)*'Loan Sizing'!$M$16*F35</f>
        <v>0</v>
      </c>
      <c r="G46" s="151">
        <f ca="1">+IFERROR(INDEX('Taxes and TIF'!$AR$11:$AR$45,MATCH('Phase III Pro Forma'!G$7,'Taxes and TIF'!$AG$11:$AG$45,0)),0)*'Loan Sizing'!$M$16*G35</f>
        <v>0</v>
      </c>
      <c r="H46" s="151">
        <f ca="1">+IFERROR(INDEX('Taxes and TIF'!$AR$11:$AR$45,MATCH('Phase III Pro Forma'!H$7,'Taxes and TIF'!$AG$11:$AG$45,0)),0)*'Loan Sizing'!$M$16*H35</f>
        <v>0</v>
      </c>
      <c r="I46" s="151">
        <f ca="1">+IFERROR(INDEX('Taxes and TIF'!$AR$11:$AR$45,MATCH('Phase III Pro Forma'!I$7,'Taxes and TIF'!$AG$11:$AG$45,0)),0)*'Loan Sizing'!$M$16*I35</f>
        <v>1071131.5961950952</v>
      </c>
      <c r="J46" s="151">
        <f ca="1">+IFERROR(INDEX('Taxes and TIF'!$AR$11:$AR$45,MATCH('Phase III Pro Forma'!J$7,'Taxes and TIF'!$AG$11:$AG$45,0)),0)*'Loan Sizing'!$M$16*J35</f>
        <v>2185108.4562379946</v>
      </c>
      <c r="K46" s="151">
        <f ca="1">+IFERROR(INDEX('Taxes and TIF'!$AR$11:$AR$45,MATCH('Phase III Pro Forma'!K$7,'Taxes and TIF'!$AG$11:$AG$45,0)),0)*'Loan Sizing'!$M$16*K35</f>
        <v>2185108.4562379946</v>
      </c>
      <c r="L46" s="151">
        <f ca="1">+IFERROR(INDEX('Taxes and TIF'!$AR$11:$AR$45,MATCH('Phase III Pro Forma'!L$7,'Taxes and TIF'!$AG$11:$AG$45,0)),0)*'Loan Sizing'!$M$16*L35</f>
        <v>2185108.4562379946</v>
      </c>
      <c r="M46" s="151">
        <f ca="1">+IFERROR(INDEX('Taxes and TIF'!$AR$11:$AR$45,MATCH('Phase III Pro Forma'!M$7,'Taxes and TIF'!$AG$11:$AG$45,0)),0)*'Loan Sizing'!$M$16*M35</f>
        <v>2228810.6253627543</v>
      </c>
      <c r="N46" s="151">
        <f ca="1">+IFERROR(INDEX('Taxes and TIF'!$AR$11:$AR$45,MATCH('Phase III Pro Forma'!N$7,'Taxes and TIF'!$AG$11:$AG$45,0)),0)*'Loan Sizing'!$M$16*N35</f>
        <v>2228810.6253627543</v>
      </c>
      <c r="O46" s="151">
        <f ca="1">+IFERROR(INDEX('Taxes and TIF'!$AR$11:$AR$45,MATCH('Phase III Pro Forma'!O$7,'Taxes and TIF'!$AG$11:$AG$45,0)),0)*'Loan Sizing'!$M$16*O35</f>
        <v>2228810.6253627543</v>
      </c>
      <c r="P46" s="151">
        <f ca="1">+IFERROR(INDEX('Taxes and TIF'!$AR$11:$AR$45,MATCH('Phase III Pro Forma'!P$7,'Taxes and TIF'!$AG$11:$AG$45,0)),0)*'Loan Sizing'!$M$16*P35</f>
        <v>2273386.8378700097</v>
      </c>
      <c r="Q46" s="151">
        <f ca="1">+IFERROR(INDEX('Taxes and TIF'!$AR$11:$AR$45,MATCH('Phase III Pro Forma'!Q$7,'Taxes and TIF'!$AG$11:$AG$45,0)),0)*'Loan Sizing'!$M$16*Q35</f>
        <v>2273386.8378700097</v>
      </c>
      <c r="R46" s="151">
        <f ca="1">+IFERROR(INDEX('Taxes and TIF'!$AR$11:$AR$45,MATCH('Phase III Pro Forma'!R$7,'Taxes and TIF'!$AG$11:$AG$45,0)),0)*'Loan Sizing'!$M$16*R35</f>
        <v>2273386.8378700097</v>
      </c>
      <c r="S46" s="151">
        <f ca="1">+IFERROR(INDEX('Taxes and TIF'!$AR$11:$AR$45,MATCH('Phase III Pro Forma'!S$7,'Taxes and TIF'!$AG$11:$AG$45,0)),0)*'Loan Sizing'!$M$16*S35</f>
        <v>2318854.5746274097</v>
      </c>
      <c r="T46" s="151">
        <f ca="1">+IFERROR(INDEX('Taxes and TIF'!$AR$11:$AR$45,MATCH('Phase III Pro Forma'!T$7,'Taxes and TIF'!$AG$11:$AG$45,0)),0)*'Loan Sizing'!$M$16*T35</f>
        <v>2318854.5746274097</v>
      </c>
      <c r="U46" s="151">
        <f ca="1">+IFERROR(INDEX('Taxes and TIF'!$AR$11:$AR$45,MATCH('Phase III Pro Forma'!U$7,'Taxes and TIF'!$AG$11:$AG$45,0)),0)*'Loan Sizing'!$M$16*U35</f>
        <v>2318854.5746274097</v>
      </c>
      <c r="V46" s="151">
        <f ca="1">+IFERROR(INDEX('Taxes and TIF'!$AR$11:$AR$45,MATCH('Phase III Pro Forma'!V$7,'Taxes and TIF'!$AG$11:$AG$45,0)),0)*'Loan Sizing'!$M$16*V35</f>
        <v>2365231.6661199583</v>
      </c>
      <c r="W46" s="151">
        <f ca="1">+IFERROR(INDEX('Taxes and TIF'!$AR$11:$AR$45,MATCH('Phase III Pro Forma'!W$7,'Taxes and TIF'!$AG$11:$AG$45,0)),0)*'Loan Sizing'!$M$16*W35</f>
        <v>2365231.6661199583</v>
      </c>
      <c r="X46" s="151">
        <f ca="1">+IFERROR(INDEX('Taxes and TIF'!$AR$11:$AR$45,MATCH('Phase III Pro Forma'!X$7,'Taxes and TIF'!$AG$11:$AG$45,0)),0)*'Loan Sizing'!$M$16*X35</f>
        <v>2365231.6661199583</v>
      </c>
      <c r="Y46" s="151">
        <f ca="1">+IFERROR(INDEX('Taxes and TIF'!$AR$11:$AR$45,MATCH('Phase III Pro Forma'!Y$7,'Taxes and TIF'!$AG$11:$AG$45,0)),0)*'Loan Sizing'!$M$16*Y35</f>
        <v>2412536.2994423574</v>
      </c>
      <c r="Z46" s="151">
        <f ca="1">+IFERROR(INDEX('Taxes and TIF'!$AR$11:$AR$45,MATCH('Phase III Pro Forma'!Z$7,'Taxes and TIF'!$AG$11:$AG$45,0)),0)*'Loan Sizing'!$M$16*Z35</f>
        <v>2412536.2994423574</v>
      </c>
    </row>
    <row r="47" spans="2:26" x14ac:dyDescent="0.35">
      <c r="B47" s="137" t="s">
        <v>252</v>
      </c>
      <c r="C47" s="137"/>
      <c r="D47" s="137"/>
      <c r="E47" s="137"/>
      <c r="F47" s="129">
        <f ca="1">+SUM(F45:F46)</f>
        <v>0</v>
      </c>
      <c r="G47" s="129">
        <f t="shared" ref="G47" ca="1" si="14">+SUM(G45:G46)</f>
        <v>0</v>
      </c>
      <c r="H47" s="129">
        <f t="shared" ref="H47:Z47" ca="1" si="15">+SUM(H45:H46)</f>
        <v>0</v>
      </c>
      <c r="I47" s="129">
        <f t="shared" ca="1" si="15"/>
        <v>2845340.3423564574</v>
      </c>
      <c r="J47" s="129">
        <f t="shared" ca="1" si="15"/>
        <v>5839978.4733304009</v>
      </c>
      <c r="K47" s="129">
        <f t="shared" ca="1" si="15"/>
        <v>5949624.5738431737</v>
      </c>
      <c r="L47" s="129">
        <f t="shared" ca="1" si="15"/>
        <v>6062560.0573713295</v>
      </c>
      <c r="M47" s="129">
        <f t="shared" ca="1" si="15"/>
        <v>6222585.7745300885</v>
      </c>
      <c r="N47" s="129">
        <f t="shared" ca="1" si="15"/>
        <v>6342399.0290051093</v>
      </c>
      <c r="O47" s="129">
        <f t="shared" ca="1" si="15"/>
        <v>6465806.6811143793</v>
      </c>
      <c r="P47" s="129">
        <f t="shared" ca="1" si="15"/>
        <v>6637492.7752941847</v>
      </c>
      <c r="Q47" s="129">
        <f t="shared" ca="1" si="15"/>
        <v>6768415.95341691</v>
      </c>
      <c r="R47" s="129">
        <f t="shared" ca="1" si="15"/>
        <v>6903266.826883316</v>
      </c>
      <c r="S47" s="129">
        <f t="shared" ca="1" si="15"/>
        <v>7087630.9633111162</v>
      </c>
      <c r="T47" s="129">
        <f t="shared" ca="1" si="15"/>
        <v>7230694.2549716271</v>
      </c>
      <c r="U47" s="129">
        <f t="shared" ca="1" si="15"/>
        <v>7378049.4453819543</v>
      </c>
      <c r="V47" s="129">
        <f t="shared" ca="1" si="15"/>
        <v>7576202.3829971394</v>
      </c>
      <c r="W47" s="129">
        <f t="shared" ca="1" si="15"/>
        <v>7732531.504503455</v>
      </c>
      <c r="X47" s="129">
        <f t="shared" ca="1" si="15"/>
        <v>7893550.4996549599</v>
      </c>
      <c r="Y47" s="129">
        <f t="shared" ca="1" si="15"/>
        <v>8106704.6979834093</v>
      </c>
      <c r="Z47" s="129">
        <f t="shared" ca="1" si="15"/>
        <v>8277529.7499396419</v>
      </c>
    </row>
    <row r="48" spans="2:26" x14ac:dyDescent="0.35">
      <c r="B48" s="33"/>
    </row>
    <row r="49" spans="1:26" x14ac:dyDescent="0.35">
      <c r="A49" s="108"/>
      <c r="B49" s="138" t="s">
        <v>251</v>
      </c>
      <c r="C49" s="138"/>
      <c r="D49" s="138"/>
      <c r="E49" s="138"/>
      <c r="F49" s="139">
        <f ca="1">+F43-F47</f>
        <v>0</v>
      </c>
      <c r="G49" s="139">
        <f t="shared" ref="G49:Z49" ca="1" si="16">+G43-G47</f>
        <v>0</v>
      </c>
      <c r="H49" s="139">
        <f t="shared" ca="1" si="16"/>
        <v>0</v>
      </c>
      <c r="I49" s="139">
        <f t="shared" ca="1" si="16"/>
        <v>3232492.816472644</v>
      </c>
      <c r="J49" s="139">
        <f t="shared" ca="1" si="16"/>
        <v>6670952.8101314195</v>
      </c>
      <c r="K49" s="139">
        <f t="shared" ca="1" si="16"/>
        <v>6927229.6243963707</v>
      </c>
      <c r="L49" s="139">
        <f t="shared" ca="1" si="16"/>
        <v>7191194.7430892717</v>
      </c>
      <c r="M49" s="139">
        <f t="shared" ca="1" si="16"/>
        <v>7419376.6462182011</v>
      </c>
      <c r="N49" s="139">
        <f t="shared" ca="1" si="16"/>
        <v>7699417.2406394975</v>
      </c>
      <c r="O49" s="139">
        <f t="shared" ca="1" si="16"/>
        <v>7987859.0528934374</v>
      </c>
      <c r="P49" s="139">
        <f t="shared" ca="1" si="16"/>
        <v>8240377.9070077371</v>
      </c>
      <c r="Q49" s="139">
        <f t="shared" ca="1" si="16"/>
        <v>8546385.8256279398</v>
      </c>
      <c r="R49" s="139">
        <f t="shared" ca="1" si="16"/>
        <v>8861573.9818067495</v>
      </c>
      <c r="S49" s="139">
        <f t="shared" ca="1" si="16"/>
        <v>9140750.0459135212</v>
      </c>
      <c r="T49" s="139">
        <f t="shared" ca="1" si="16"/>
        <v>9475133.1608036216</v>
      </c>
      <c r="U49" s="139">
        <f t="shared" ca="1" si="16"/>
        <v>9819547.7691404223</v>
      </c>
      <c r="V49" s="139">
        <f t="shared" ca="1" si="16"/>
        <v>10127917.724234778</v>
      </c>
      <c r="W49" s="139">
        <f t="shared" ca="1" si="16"/>
        <v>10493307.182219289</v>
      </c>
      <c r="X49" s="139">
        <f t="shared" ca="1" si="16"/>
        <v>10869658.323943336</v>
      </c>
      <c r="Y49" s="139">
        <f t="shared" ca="1" si="16"/>
        <v>11209995.366596706</v>
      </c>
      <c r="Z49" s="139">
        <f t="shared" ca="1" si="16"/>
        <v>11609266.29285175</v>
      </c>
    </row>
    <row r="50" spans="1:26" x14ac:dyDescent="0.35">
      <c r="B50" s="143" t="s">
        <v>257</v>
      </c>
      <c r="C50" s="141"/>
      <c r="D50" s="141"/>
      <c r="E50" s="141"/>
      <c r="F50" s="144" t="str">
        <f ca="1">+IFERROR(F49/F43,"")</f>
        <v/>
      </c>
      <c r="G50" s="144" t="str">
        <f t="shared" ref="G50:Z50" ca="1" si="17">+IFERROR(G49/G43,"")</f>
        <v/>
      </c>
      <c r="H50" s="144" t="str">
        <f t="shared" ca="1" si="17"/>
        <v/>
      </c>
      <c r="I50" s="145">
        <f t="shared" ca="1" si="17"/>
        <v>0.53184954769232029</v>
      </c>
      <c r="J50" s="145">
        <f t="shared" ca="1" si="17"/>
        <v>0.53320993129821925</v>
      </c>
      <c r="K50" s="145">
        <f t="shared" ca="1" si="17"/>
        <v>0.53795977788918548</v>
      </c>
      <c r="L50" s="145">
        <f t="shared" ca="1" si="17"/>
        <v>0.54257792235898006</v>
      </c>
      <c r="M50" s="145">
        <f t="shared" ca="1" si="17"/>
        <v>0.54386432225718107</v>
      </c>
      <c r="N50" s="145">
        <f t="shared" ca="1" si="17"/>
        <v>0.54832060844464869</v>
      </c>
      <c r="O50" s="145">
        <f t="shared" ca="1" si="17"/>
        <v>0.55265281485643614</v>
      </c>
      <c r="P50" s="145">
        <f t="shared" ca="1" si="17"/>
        <v>0.55386809597761444</v>
      </c>
      <c r="Q50" s="145">
        <f t="shared" ca="1" si="17"/>
        <v>0.55804743338708485</v>
      </c>
      <c r="R50" s="145">
        <f t="shared" ca="1" si="17"/>
        <v>0.56210995653834817</v>
      </c>
      <c r="S50" s="145">
        <f t="shared" ca="1" si="17"/>
        <v>0.56325705199537035</v>
      </c>
      <c r="T50" s="145">
        <f t="shared" ca="1" si="17"/>
        <v>0.56717532900263834</v>
      </c>
      <c r="U50" s="145">
        <f t="shared" ca="1" si="17"/>
        <v>0.57098370467988291</v>
      </c>
      <c r="V50" s="145">
        <f t="shared" ca="1" si="17"/>
        <v>0.57206557924884649</v>
      </c>
      <c r="W50" s="145">
        <f t="shared" ca="1" si="17"/>
        <v>0.57573795985934573</v>
      </c>
      <c r="X50" s="145">
        <f t="shared" ca="1" si="17"/>
        <v>0.57930700586099526</v>
      </c>
      <c r="Y50" s="145">
        <f t="shared" ca="1" si="17"/>
        <v>0.58032662562027393</v>
      </c>
      <c r="Z50" s="145">
        <f t="shared" ca="1" si="17"/>
        <v>0.5837675545055887</v>
      </c>
    </row>
    <row r="51" spans="1:26" x14ac:dyDescent="0.35">
      <c r="B51" s="143" t="s">
        <v>191</v>
      </c>
      <c r="C51" s="141"/>
      <c r="D51" s="141"/>
      <c r="E51" s="141"/>
      <c r="F51" s="142">
        <f ca="1">+F49/Assumptions!$P$129</f>
        <v>0</v>
      </c>
      <c r="G51" s="142">
        <f ca="1">+G49/Assumptions!$P$129</f>
        <v>0</v>
      </c>
      <c r="H51" s="142">
        <f ca="1">+H49/Assumptions!$P$129</f>
        <v>0</v>
      </c>
      <c r="I51" s="142">
        <f ca="1">+I49/Assumptions!$P$129</f>
        <v>58772596.663138978</v>
      </c>
      <c r="J51" s="142">
        <f ca="1">+J49/Assumptions!$P$129</f>
        <v>121290051.09329854</v>
      </c>
      <c r="K51" s="142">
        <f ca="1">+K49/Assumptions!$P$129</f>
        <v>125949629.53447947</v>
      </c>
      <c r="L51" s="142">
        <f ca="1">+L49/Assumptions!$P$129</f>
        <v>130748995.32889585</v>
      </c>
      <c r="M51" s="142">
        <f ca="1">+M49/Assumptions!$P$129</f>
        <v>134897757.2039673</v>
      </c>
      <c r="N51" s="142">
        <f ca="1">+N49/Assumptions!$P$129</f>
        <v>139989404.3752636</v>
      </c>
      <c r="O51" s="142">
        <f ca="1">+O49/Assumptions!$P$129</f>
        <v>145233800.96169886</v>
      </c>
      <c r="P51" s="142">
        <f ca="1">+P49/Assumptions!$P$129</f>
        <v>149825052.85468614</v>
      </c>
      <c r="Q51" s="142">
        <f ca="1">+Q49/Assumptions!$P$129</f>
        <v>155388833.19323528</v>
      </c>
      <c r="R51" s="142">
        <f ca="1">+R49/Assumptions!$P$129</f>
        <v>161119526.9419409</v>
      </c>
      <c r="S51" s="142">
        <f ca="1">+S49/Assumptions!$P$129</f>
        <v>166195455.38024583</v>
      </c>
      <c r="T51" s="142">
        <f ca="1">+T49/Assumptions!$P$129</f>
        <v>172275148.37824768</v>
      </c>
      <c r="U51" s="142">
        <f ca="1">+U49/Assumptions!$P$129</f>
        <v>178537232.16618949</v>
      </c>
      <c r="V51" s="142">
        <f ca="1">+V49/Assumptions!$P$129</f>
        <v>184143958.62245053</v>
      </c>
      <c r="W51" s="142">
        <f ca="1">+W49/Assumptions!$P$129</f>
        <v>190787403.31307799</v>
      </c>
      <c r="X51" s="142">
        <f ca="1">+X49/Assumptions!$P$129</f>
        <v>197630151.34442428</v>
      </c>
      <c r="Y51" s="142">
        <f ca="1">+Y49/Assumptions!$P$129</f>
        <v>203818097.57448557</v>
      </c>
      <c r="Z51" s="142">
        <f ca="1">+Z49/Assumptions!$P$129</f>
        <v>211077568.9609409</v>
      </c>
    </row>
    <row r="53" spans="1:26" x14ac:dyDescent="0.35">
      <c r="B53" s="148" t="s">
        <v>25</v>
      </c>
      <c r="C53" s="149"/>
      <c r="D53" s="149"/>
      <c r="E53" s="149"/>
      <c r="F53" s="150">
        <f>+Assumptions!$H$22</f>
        <v>45657</v>
      </c>
      <c r="G53" s="150">
        <f>+EOMONTH(F53,12)</f>
        <v>46022</v>
      </c>
      <c r="H53" s="150">
        <f t="shared" ref="H53:Z53" si="18">+EOMONTH(G53,12)</f>
        <v>46387</v>
      </c>
      <c r="I53" s="150">
        <f t="shared" si="18"/>
        <v>46752</v>
      </c>
      <c r="J53" s="150">
        <f t="shared" si="18"/>
        <v>47118</v>
      </c>
      <c r="K53" s="150">
        <f t="shared" si="18"/>
        <v>47483</v>
      </c>
      <c r="L53" s="150">
        <f t="shared" si="18"/>
        <v>47848</v>
      </c>
      <c r="M53" s="150">
        <f t="shared" si="18"/>
        <v>48213</v>
      </c>
      <c r="N53" s="150">
        <f t="shared" si="18"/>
        <v>48579</v>
      </c>
      <c r="O53" s="150">
        <f t="shared" si="18"/>
        <v>48944</v>
      </c>
      <c r="P53" s="150">
        <f t="shared" si="18"/>
        <v>49309</v>
      </c>
      <c r="Q53" s="150">
        <f t="shared" si="18"/>
        <v>49674</v>
      </c>
      <c r="R53" s="150">
        <f t="shared" si="18"/>
        <v>50040</v>
      </c>
      <c r="S53" s="150">
        <f t="shared" si="18"/>
        <v>50405</v>
      </c>
      <c r="T53" s="150">
        <f t="shared" si="18"/>
        <v>50770</v>
      </c>
      <c r="U53" s="150">
        <f t="shared" si="18"/>
        <v>51135</v>
      </c>
      <c r="V53" s="150">
        <f t="shared" si="18"/>
        <v>51501</v>
      </c>
      <c r="W53" s="150">
        <f t="shared" si="18"/>
        <v>51866</v>
      </c>
      <c r="X53" s="150">
        <f t="shared" si="18"/>
        <v>52231</v>
      </c>
      <c r="Y53" s="150">
        <f t="shared" si="18"/>
        <v>52596</v>
      </c>
      <c r="Z53" s="150">
        <f t="shared" si="18"/>
        <v>52962</v>
      </c>
    </row>
    <row r="54" spans="1:26" x14ac:dyDescent="0.35">
      <c r="B54" s="33" t="s">
        <v>766</v>
      </c>
      <c r="C54" s="33"/>
      <c r="D54" s="40"/>
      <c r="E54" s="40"/>
      <c r="F54" s="42">
        <f>+IF(AND(F53&gt;=Assumptions!$H$26,F53&lt;Assumptions!$H$28),Assumptions!$H$137/ROUNDUP((Assumptions!$H$27/12),0),0)</f>
        <v>0</v>
      </c>
      <c r="G54" s="42">
        <f>+IF(AND(G53&gt;=Assumptions!$H$26,G53&lt;Assumptions!$H$28),Assumptions!$H$137/ROUNDUP((Assumptions!$H$27/12),0),0)</f>
        <v>0</v>
      </c>
      <c r="H54" s="42">
        <f>+IF(AND(H53&gt;=Assumptions!$H$26,H53&lt;Assumptions!$H$28),Assumptions!$H$137/ROUNDUP((Assumptions!$H$27/12),0),0)</f>
        <v>0</v>
      </c>
      <c r="I54" s="42">
        <f>+IF(AND(I53&gt;=Assumptions!$H$26,I53&lt;Assumptions!$H$28),Assumptions!$H$137/ROUNDUP((Assumptions!$H$27/12),0),0)</f>
        <v>35248.5</v>
      </c>
      <c r="J54" s="42">
        <f>+IF(AND(J53&gt;=Assumptions!$H$26,J53&lt;Assumptions!$H$28),Assumptions!$H$137/ROUNDUP((Assumptions!$H$27/12),0),0)</f>
        <v>35248.5</v>
      </c>
      <c r="K54" s="42">
        <f>+IF(AND(K53&gt;=Assumptions!$H$26,K53&lt;Assumptions!$H$28),Assumptions!$H$137/ROUNDUP((Assumptions!$H$27/12),0),0)</f>
        <v>0</v>
      </c>
      <c r="L54" s="42">
        <f>+IF(AND(L53&gt;=Assumptions!$H$26,L53&lt;Assumptions!$H$28),Assumptions!$H$137/ROUNDUP((Assumptions!$H$27/12),0),0)</f>
        <v>0</v>
      </c>
      <c r="M54" s="42">
        <f>+IF(AND(M53&gt;=Assumptions!$H$26,M53&lt;Assumptions!$H$28),Assumptions!$H$137/ROUNDUP((Assumptions!$H$27/12),0),0)</f>
        <v>0</v>
      </c>
      <c r="N54" s="42">
        <f>+IF(AND(N53&gt;=Assumptions!$H$26,N53&lt;Assumptions!$H$28),Assumptions!$H$137/ROUNDUP((Assumptions!$H$27/12),0),0)</f>
        <v>0</v>
      </c>
      <c r="O54" s="42">
        <f>+IF(AND(O53&gt;=Assumptions!$H$26,O53&lt;Assumptions!$H$28),Assumptions!$H$137/ROUNDUP((Assumptions!$H$27/12),0),0)</f>
        <v>0</v>
      </c>
      <c r="P54" s="42">
        <f>+IF(AND(P53&gt;=Assumptions!$H$26,P53&lt;Assumptions!$H$28),Assumptions!$H$137/ROUNDUP((Assumptions!$H$27/12),0),0)</f>
        <v>0</v>
      </c>
      <c r="Q54" s="42">
        <f>+IF(AND(Q53&gt;=Assumptions!$H$26,Q53&lt;Assumptions!$H$28),Assumptions!$H$137/ROUNDUP((Assumptions!$H$27/12),0),0)</f>
        <v>0</v>
      </c>
      <c r="R54" s="42">
        <f>+IF(AND(R53&gt;=Assumptions!$H$26,R53&lt;Assumptions!$H$28),Assumptions!$H$137/ROUNDUP((Assumptions!$H$27/12),0),0)</f>
        <v>0</v>
      </c>
      <c r="S54" s="42">
        <f>+IF(AND(S53&gt;=Assumptions!$H$26,S53&lt;Assumptions!$H$28),Assumptions!$H$137/ROUNDUP((Assumptions!$H$27/12),0),0)</f>
        <v>0</v>
      </c>
      <c r="T54" s="42">
        <f>+IF(AND(T53&gt;=Assumptions!$H$26,T53&lt;Assumptions!$H$28),Assumptions!$H$137/ROUNDUP((Assumptions!$H$27/12),0),0)</f>
        <v>0</v>
      </c>
      <c r="U54" s="42">
        <f>+IF(AND(U53&gt;=Assumptions!$H$26,U53&lt;Assumptions!$H$28),Assumptions!$H$137/ROUNDUP((Assumptions!$H$27/12),0),0)</f>
        <v>0</v>
      </c>
      <c r="V54" s="42">
        <f>+IF(AND(V53&gt;=Assumptions!$H$26,V53&lt;Assumptions!$H$28),Assumptions!$H$137/ROUNDUP((Assumptions!$H$27/12),0),0)</f>
        <v>0</v>
      </c>
      <c r="W54" s="42">
        <f>+IF(AND(W53&gt;=Assumptions!$H$26,W53&lt;Assumptions!$H$28),Assumptions!$H$137/ROUNDUP((Assumptions!$H$27/12),0),0)</f>
        <v>0</v>
      </c>
      <c r="X54" s="42">
        <f>+IF(AND(X53&gt;=Assumptions!$H$26,X53&lt;Assumptions!$H$28),Assumptions!$H$137/ROUNDUP((Assumptions!$H$27/12),0),0)</f>
        <v>0</v>
      </c>
      <c r="Y54" s="42">
        <f>+IF(AND(Y53&gt;=Assumptions!$H$26,Y53&lt;Assumptions!$H$28),Assumptions!$H$137/ROUNDUP((Assumptions!$H$27/12),0),0)</f>
        <v>0</v>
      </c>
      <c r="Z54" s="42">
        <f>+IF(AND(Z53&gt;=Assumptions!$H$26,Z53&lt;Assumptions!$H$28),Assumptions!$H$137/ROUNDUP((Assumptions!$H$27/12),0),0)</f>
        <v>0</v>
      </c>
    </row>
    <row r="55" spans="1:26" x14ac:dyDescent="0.35">
      <c r="B55" s="33" t="s">
        <v>249</v>
      </c>
      <c r="C55" s="33"/>
      <c r="D55" s="42">
        <v>0</v>
      </c>
      <c r="E55" s="42"/>
      <c r="F55" s="42">
        <f>+D55+F54</f>
        <v>0</v>
      </c>
      <c r="G55" s="42">
        <f t="shared" ref="G55:Z55" si="19">+F55+G54</f>
        <v>0</v>
      </c>
      <c r="H55" s="42">
        <f t="shared" si="19"/>
        <v>0</v>
      </c>
      <c r="I55" s="42">
        <f t="shared" si="19"/>
        <v>35248.5</v>
      </c>
      <c r="J55" s="42">
        <f t="shared" si="19"/>
        <v>70497</v>
      </c>
      <c r="K55" s="42">
        <f t="shared" si="19"/>
        <v>70497</v>
      </c>
      <c r="L55" s="42">
        <f t="shared" si="19"/>
        <v>70497</v>
      </c>
      <c r="M55" s="42">
        <f t="shared" si="19"/>
        <v>70497</v>
      </c>
      <c r="N55" s="42">
        <f t="shared" si="19"/>
        <v>70497</v>
      </c>
      <c r="O55" s="42">
        <f t="shared" si="19"/>
        <v>70497</v>
      </c>
      <c r="P55" s="42">
        <f t="shared" si="19"/>
        <v>70497</v>
      </c>
      <c r="Q55" s="42">
        <f t="shared" si="19"/>
        <v>70497</v>
      </c>
      <c r="R55" s="42">
        <f t="shared" si="19"/>
        <v>70497</v>
      </c>
      <c r="S55" s="42">
        <f t="shared" si="19"/>
        <v>70497</v>
      </c>
      <c r="T55" s="42">
        <f t="shared" si="19"/>
        <v>70497</v>
      </c>
      <c r="U55" s="42">
        <f t="shared" si="19"/>
        <v>70497</v>
      </c>
      <c r="V55" s="42">
        <f t="shared" si="19"/>
        <v>70497</v>
      </c>
      <c r="W55" s="42">
        <f t="shared" si="19"/>
        <v>70497</v>
      </c>
      <c r="X55" s="42">
        <f t="shared" si="19"/>
        <v>70497</v>
      </c>
      <c r="Y55" s="42">
        <f t="shared" si="19"/>
        <v>70497</v>
      </c>
      <c r="Z55" s="42">
        <f t="shared" si="19"/>
        <v>70497</v>
      </c>
    </row>
    <row r="56" spans="1:26" x14ac:dyDescent="0.35">
      <c r="B56" s="33" t="s">
        <v>306</v>
      </c>
      <c r="C56" s="33"/>
      <c r="D56" s="42"/>
      <c r="E56" s="42"/>
      <c r="F56" s="108">
        <f t="shared" ref="F56:Z56" si="20">+F55/SUM($F54:$Z54)</f>
        <v>0</v>
      </c>
      <c r="G56" s="108">
        <f t="shared" si="20"/>
        <v>0</v>
      </c>
      <c r="H56" s="108">
        <f t="shared" si="20"/>
        <v>0</v>
      </c>
      <c r="I56" s="108">
        <f t="shared" si="20"/>
        <v>0.5</v>
      </c>
      <c r="J56" s="108">
        <f t="shared" si="20"/>
        <v>1</v>
      </c>
      <c r="K56" s="108">
        <f t="shared" si="20"/>
        <v>1</v>
      </c>
      <c r="L56" s="108">
        <f t="shared" si="20"/>
        <v>1</v>
      </c>
      <c r="M56" s="108">
        <f t="shared" si="20"/>
        <v>1</v>
      </c>
      <c r="N56" s="108">
        <f t="shared" si="20"/>
        <v>1</v>
      </c>
      <c r="O56" s="108">
        <f t="shared" si="20"/>
        <v>1</v>
      </c>
      <c r="P56" s="108">
        <f t="shared" si="20"/>
        <v>1</v>
      </c>
      <c r="Q56" s="108">
        <f t="shared" si="20"/>
        <v>1</v>
      </c>
      <c r="R56" s="108">
        <f t="shared" si="20"/>
        <v>1</v>
      </c>
      <c r="S56" s="108">
        <f t="shared" si="20"/>
        <v>1</v>
      </c>
      <c r="T56" s="108">
        <f t="shared" si="20"/>
        <v>1</v>
      </c>
      <c r="U56" s="108">
        <f t="shared" si="20"/>
        <v>1</v>
      </c>
      <c r="V56" s="108">
        <f t="shared" si="20"/>
        <v>1</v>
      </c>
      <c r="W56" s="108">
        <f t="shared" si="20"/>
        <v>1</v>
      </c>
      <c r="X56" s="108">
        <f t="shared" si="20"/>
        <v>1</v>
      </c>
      <c r="Y56" s="108">
        <f t="shared" si="20"/>
        <v>1</v>
      </c>
      <c r="Z56" s="108">
        <f t="shared" si="20"/>
        <v>1</v>
      </c>
    </row>
    <row r="57" spans="1:26" x14ac:dyDescent="0.35">
      <c r="B57" s="33"/>
      <c r="C57" s="33"/>
      <c r="D57" s="40"/>
      <c r="E57" s="40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x14ac:dyDescent="0.35">
      <c r="B58" s="33" t="s">
        <v>254</v>
      </c>
      <c r="C58" s="33"/>
      <c r="D58" s="42"/>
      <c r="E58" s="42"/>
      <c r="F58" s="108">
        <v>1</v>
      </c>
      <c r="G58" s="108">
        <f>+IF(MOD(G$2,Assumptions!$P$66)=(Assumptions!$P$66-1),F58*(1+Assumptions!$P$65),'Phase III Pro Forma'!F58)</f>
        <v>1</v>
      </c>
      <c r="H58" s="108">
        <f>+IF(MOD(H$2,Assumptions!$P$66)=(Assumptions!$P$66-1),G58*(1+Assumptions!$P$65),'Phase III Pro Forma'!G58)</f>
        <v>1</v>
      </c>
      <c r="I58" s="108">
        <f>+IF(MOD(I$2,Assumptions!$P$66)=(Assumptions!$P$66-1),H58*(1+Assumptions!$P$65),'Phase III Pro Forma'!H58)</f>
        <v>1</v>
      </c>
      <c r="J58" s="108">
        <f>+IF(MOD(J$2,Assumptions!$P$66)=(Assumptions!$P$66-1),I58*(1+Assumptions!$P$65),'Phase III Pro Forma'!I58)</f>
        <v>1</v>
      </c>
      <c r="K58" s="108">
        <f>+IF(MOD(K$2,Assumptions!$P$66)=(Assumptions!$P$66-1),J58*(1+Assumptions!$P$65),'Phase III Pro Forma'!J58)</f>
        <v>1</v>
      </c>
      <c r="L58" s="108">
        <f>+IF(MOD(L$2,Assumptions!$P$66)=(Assumptions!$P$66-1),K58*(1+Assumptions!$P$65),'Phase III Pro Forma'!K58)</f>
        <v>1.1000000000000001</v>
      </c>
      <c r="M58" s="108">
        <f>+IF(MOD(M$2,Assumptions!$P$66)=(Assumptions!$P$66-1),L58*(1+Assumptions!$P$65),'Phase III Pro Forma'!L58)</f>
        <v>1.1000000000000001</v>
      </c>
      <c r="N58" s="108">
        <f>+IF(MOD(N$2,Assumptions!$P$66)=(Assumptions!$P$66-1),M58*(1+Assumptions!$P$65),'Phase III Pro Forma'!M58)</f>
        <v>1.1000000000000001</v>
      </c>
      <c r="O58" s="108">
        <f>+IF(MOD(O$2,Assumptions!$P$66)=(Assumptions!$P$66-1),N58*(1+Assumptions!$P$65),'Phase III Pro Forma'!N58)</f>
        <v>1.1000000000000001</v>
      </c>
      <c r="P58" s="108">
        <f>+IF(MOD(P$2,Assumptions!$P$66)=(Assumptions!$P$66-1),O58*(1+Assumptions!$P$65),'Phase III Pro Forma'!O58)</f>
        <v>1.1000000000000001</v>
      </c>
      <c r="Q58" s="108">
        <f>+IF(MOD(Q$2,Assumptions!$P$66)=(Assumptions!$P$66-1),P58*(1+Assumptions!$P$65),'Phase III Pro Forma'!P58)</f>
        <v>1.2100000000000002</v>
      </c>
      <c r="R58" s="108">
        <f>+IF(MOD(R$2,Assumptions!$P$66)=(Assumptions!$P$66-1),Q58*(1+Assumptions!$P$65),'Phase III Pro Forma'!Q58)</f>
        <v>1.2100000000000002</v>
      </c>
      <c r="S58" s="108">
        <f>+IF(MOD(S$2,Assumptions!$P$66)=(Assumptions!$P$66-1),R58*(1+Assumptions!$P$65),'Phase III Pro Forma'!R58)</f>
        <v>1.2100000000000002</v>
      </c>
      <c r="T58" s="108">
        <f>+IF(MOD(T$2,Assumptions!$P$66)=(Assumptions!$P$66-1),S58*(1+Assumptions!$P$65),'Phase III Pro Forma'!S58)</f>
        <v>1.2100000000000002</v>
      </c>
      <c r="U58" s="108">
        <f>+IF(MOD(U$2,Assumptions!$P$66)=(Assumptions!$P$66-1),T58*(1+Assumptions!$P$65),'Phase III Pro Forma'!T58)</f>
        <v>1.2100000000000002</v>
      </c>
      <c r="V58" s="108">
        <f>+IF(MOD(V$2,Assumptions!$P$66)=(Assumptions!$P$66-1),U58*(1+Assumptions!$P$65),'Phase III Pro Forma'!U58)</f>
        <v>1.3310000000000004</v>
      </c>
      <c r="W58" s="108">
        <f>+IF(MOD(W$2,Assumptions!$P$66)=(Assumptions!$P$66-1),V58*(1+Assumptions!$P$65),'Phase III Pro Forma'!V58)</f>
        <v>1.3310000000000004</v>
      </c>
      <c r="X58" s="108">
        <f>+IF(MOD(X$2,Assumptions!$P$66)=(Assumptions!$P$66-1),W58*(1+Assumptions!$P$65),'Phase III Pro Forma'!W58)</f>
        <v>1.3310000000000004</v>
      </c>
      <c r="Y58" s="108">
        <f>+IF(MOD(Y$2,Assumptions!$P$66)=(Assumptions!$P$66-1),X58*(1+Assumptions!$P$65),'Phase III Pro Forma'!X58)</f>
        <v>1.3310000000000004</v>
      </c>
      <c r="Z58" s="108">
        <f>+IF(MOD(Z$2,Assumptions!$P$66)=(Assumptions!$P$66-1),Y58*(1+Assumptions!$P$65),'Phase III Pro Forma'!Y58)</f>
        <v>1.3310000000000004</v>
      </c>
    </row>
    <row r="59" spans="1:26" x14ac:dyDescent="0.35">
      <c r="B59" s="33" t="s">
        <v>255</v>
      </c>
      <c r="C59" s="33"/>
      <c r="D59" s="42"/>
      <c r="E59" s="42"/>
      <c r="F59" s="108">
        <v>1</v>
      </c>
      <c r="G59" s="108">
        <f>+F59*(1+Assumptions!$P$78)</f>
        <v>1.03</v>
      </c>
      <c r="H59" s="108">
        <f>+G59*(1+Assumptions!$P$78)</f>
        <v>1.0609</v>
      </c>
      <c r="I59" s="108">
        <f>+H59*(1+Assumptions!$P$78)</f>
        <v>1.092727</v>
      </c>
      <c r="J59" s="108">
        <f>+I59*(1+Assumptions!$P$78)</f>
        <v>1.1255088100000001</v>
      </c>
      <c r="K59" s="108">
        <f>+J59*(1+Assumptions!$P$78)</f>
        <v>1.1592740743000001</v>
      </c>
      <c r="L59" s="108">
        <f>+K59*(1+Assumptions!$P$78)</f>
        <v>1.1940522965290001</v>
      </c>
      <c r="M59" s="108">
        <f>+L59*(1+Assumptions!$P$78)</f>
        <v>1.2298738654248702</v>
      </c>
      <c r="N59" s="108">
        <f>+M59*(1+Assumptions!$P$78)</f>
        <v>1.2667700813876164</v>
      </c>
      <c r="O59" s="108">
        <f>+N59*(1+Assumptions!$P$78)</f>
        <v>1.3047731838292449</v>
      </c>
      <c r="P59" s="108">
        <f>+O59*(1+Assumptions!$P$78)</f>
        <v>1.3439163793441222</v>
      </c>
      <c r="Q59" s="108">
        <f>+P59*(1+Assumptions!$P$78)</f>
        <v>1.3842338707244459</v>
      </c>
      <c r="R59" s="108">
        <f>+Q59*(1+Assumptions!$P$78)</f>
        <v>1.4257608868461793</v>
      </c>
      <c r="S59" s="108">
        <f>+R59*(1+Assumptions!$P$78)</f>
        <v>1.4685337134515648</v>
      </c>
      <c r="T59" s="108">
        <f>+S59*(1+Assumptions!$P$78)</f>
        <v>1.5125897248551119</v>
      </c>
      <c r="U59" s="108">
        <f>+T59*(1+Assumptions!$P$78)</f>
        <v>1.5579674166007653</v>
      </c>
      <c r="V59" s="108">
        <f>+U59*(1+Assumptions!$P$78)</f>
        <v>1.6047064390987884</v>
      </c>
      <c r="W59" s="108">
        <f>+V59*(1+Assumptions!$P$78)</f>
        <v>1.652847632271752</v>
      </c>
      <c r="X59" s="108">
        <f>+W59*(1+Assumptions!$P$78)</f>
        <v>1.7024330612399046</v>
      </c>
      <c r="Y59" s="108">
        <f>+X59*(1+Assumptions!$P$78)</f>
        <v>1.7535060530771018</v>
      </c>
      <c r="Z59" s="108">
        <f>+Y59*(1+Assumptions!$P$78)</f>
        <v>1.806111234669415</v>
      </c>
    </row>
    <row r="60" spans="1:26" x14ac:dyDescent="0.35">
      <c r="B60" s="33"/>
      <c r="C60" s="33"/>
      <c r="D60" s="40"/>
      <c r="E60" s="40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x14ac:dyDescent="0.35">
      <c r="B61" s="33" t="s">
        <v>246</v>
      </c>
      <c r="C61" s="33"/>
      <c r="D61" s="40"/>
      <c r="E61" s="40"/>
      <c r="F61" s="34">
        <f>+F56*Assumptions!$H$136*F58</f>
        <v>0</v>
      </c>
      <c r="G61" s="34">
        <f>+G56*Assumptions!$H$136*G58</f>
        <v>0</v>
      </c>
      <c r="H61" s="34">
        <f>+H56*Assumptions!$H$136*H58</f>
        <v>0</v>
      </c>
      <c r="I61" s="34">
        <f>+I56*Assumptions!$H$136*I58</f>
        <v>877544.52981047996</v>
      </c>
      <c r="J61" s="34">
        <f>+J56*Assumptions!$H$136*J58</f>
        <v>1755089.0596209599</v>
      </c>
      <c r="K61" s="34">
        <f>+K56*Assumptions!$H$136*K58</f>
        <v>1755089.0596209599</v>
      </c>
      <c r="L61" s="34">
        <f>+L56*Assumptions!$H$136*L58</f>
        <v>1930597.965583056</v>
      </c>
      <c r="M61" s="34">
        <f>+M56*Assumptions!$H$136*M58</f>
        <v>1930597.965583056</v>
      </c>
      <c r="N61" s="34">
        <f>+N56*Assumptions!$H$136*N58</f>
        <v>1930597.965583056</v>
      </c>
      <c r="O61" s="34">
        <f>+O56*Assumptions!$H$136*O58</f>
        <v>1930597.965583056</v>
      </c>
      <c r="P61" s="34">
        <f>+P56*Assumptions!$H$136*P58</f>
        <v>1930597.965583056</v>
      </c>
      <c r="Q61" s="34">
        <f>+Q56*Assumptions!$H$136*Q58</f>
        <v>2123657.7621413618</v>
      </c>
      <c r="R61" s="34">
        <f>+R56*Assumptions!$H$136*R58</f>
        <v>2123657.7621413618</v>
      </c>
      <c r="S61" s="34">
        <f>+S56*Assumptions!$H$136*S58</f>
        <v>2123657.7621413618</v>
      </c>
      <c r="T61" s="34">
        <f>+T56*Assumptions!$H$136*T58</f>
        <v>2123657.7621413618</v>
      </c>
      <c r="U61" s="34">
        <f>+U56*Assumptions!$H$136*U58</f>
        <v>2123657.7621413618</v>
      </c>
      <c r="V61" s="34">
        <f>+V56*Assumptions!$H$136*V58</f>
        <v>2336023.5383554986</v>
      </c>
      <c r="W61" s="34">
        <f>+W56*Assumptions!$H$136*W58</f>
        <v>2336023.5383554986</v>
      </c>
      <c r="X61" s="34">
        <f>+X56*Assumptions!$H$136*X58</f>
        <v>2336023.5383554986</v>
      </c>
      <c r="Y61" s="34">
        <f>+Y56*Assumptions!$H$136*Y58</f>
        <v>2336023.5383554986</v>
      </c>
      <c r="Z61" s="34">
        <f>+Z56*Assumptions!$H$136*Z58</f>
        <v>2336023.5383554986</v>
      </c>
    </row>
    <row r="62" spans="1:26" x14ac:dyDescent="0.35">
      <c r="B62" s="33" t="s">
        <v>247</v>
      </c>
      <c r="C62" s="33"/>
      <c r="D62" s="40"/>
      <c r="E62" s="40"/>
      <c r="F62" s="42">
        <f>-F61*Assumptions!$P$56</f>
        <v>0</v>
      </c>
      <c r="G62" s="42">
        <f>-G61*Assumptions!$P$56</f>
        <v>0</v>
      </c>
      <c r="H62" s="42">
        <f>-H61*Assumptions!$P$56</f>
        <v>0</v>
      </c>
      <c r="I62" s="42">
        <f>-I61*Assumptions!$P$56</f>
        <v>-87754.452981048002</v>
      </c>
      <c r="J62" s="42">
        <f>-J61*Assumptions!$P$56</f>
        <v>-175508.905962096</v>
      </c>
      <c r="K62" s="42">
        <f>-K61*Assumptions!$P$56</f>
        <v>-175508.905962096</v>
      </c>
      <c r="L62" s="42">
        <f>-L61*Assumptions!$P$56</f>
        <v>-193059.79655830562</v>
      </c>
      <c r="M62" s="42">
        <f>-M61*Assumptions!$P$56</f>
        <v>-193059.79655830562</v>
      </c>
      <c r="N62" s="42">
        <f>-N61*Assumptions!$P$56</f>
        <v>-193059.79655830562</v>
      </c>
      <c r="O62" s="42">
        <f>-O61*Assumptions!$P$56</f>
        <v>-193059.79655830562</v>
      </c>
      <c r="P62" s="42">
        <f>-P61*Assumptions!$P$56</f>
        <v>-193059.79655830562</v>
      </c>
      <c r="Q62" s="42">
        <f>-Q61*Assumptions!$P$56</f>
        <v>-212365.77621413619</v>
      </c>
      <c r="R62" s="42">
        <f>-R61*Assumptions!$P$56</f>
        <v>-212365.77621413619</v>
      </c>
      <c r="S62" s="42">
        <f>-S61*Assumptions!$P$56</f>
        <v>-212365.77621413619</v>
      </c>
      <c r="T62" s="42">
        <f>-T61*Assumptions!$P$56</f>
        <v>-212365.77621413619</v>
      </c>
      <c r="U62" s="42">
        <f>-U61*Assumptions!$P$56</f>
        <v>-212365.77621413619</v>
      </c>
      <c r="V62" s="42">
        <f>-V61*Assumptions!$P$56</f>
        <v>-233602.35383554987</v>
      </c>
      <c r="W62" s="42">
        <f>-W61*Assumptions!$P$56</f>
        <v>-233602.35383554987</v>
      </c>
      <c r="X62" s="42">
        <f>-X61*Assumptions!$P$56</f>
        <v>-233602.35383554987</v>
      </c>
      <c r="Y62" s="42">
        <f>-Y61*Assumptions!$P$56</f>
        <v>-233602.35383554987</v>
      </c>
      <c r="Z62" s="42">
        <f>-Z61*Assumptions!$P$56</f>
        <v>-233602.35383554987</v>
      </c>
    </row>
    <row r="63" spans="1:26" x14ac:dyDescent="0.35">
      <c r="B63" s="33" t="s">
        <v>262</v>
      </c>
      <c r="C63" s="33"/>
      <c r="D63" s="40"/>
      <c r="E63" s="40"/>
      <c r="F63" s="151">
        <f ca="1">+F68*Assumptions!$P$89</f>
        <v>0</v>
      </c>
      <c r="G63" s="151">
        <f ca="1">+G68*Assumptions!$P$89</f>
        <v>0</v>
      </c>
      <c r="H63" s="151">
        <f ca="1">+H68*Assumptions!$P$89</f>
        <v>0</v>
      </c>
      <c r="I63" s="151">
        <f ca="1">+I68*Assumptions!$P$89</f>
        <v>467403.97590235953</v>
      </c>
      <c r="J63" s="151">
        <f ca="1">+J68*Assumptions!$P$89</f>
        <v>958757.3061355832</v>
      </c>
      <c r="K63" s="151">
        <f ca="1">+K68*Assumptions!$P$89</f>
        <v>974989.67959642143</v>
      </c>
      <c r="L63" s="151">
        <f ca="1">+L68*Assumptions!$P$89</f>
        <v>991709.02426108508</v>
      </c>
      <c r="M63" s="151">
        <f ca="1">+M68*Assumptions!$P$89</f>
        <v>1017283.5130811747</v>
      </c>
      <c r="N63" s="151">
        <f ca="1">+N68*Assumptions!$P$89</f>
        <v>1035021.0658359163</v>
      </c>
      <c r="O63" s="151">
        <f ca="1">+O68*Assumptions!$P$89</f>
        <v>1053290.7451733002</v>
      </c>
      <c r="P63" s="151">
        <f ca="1">+P68*Assumptions!$P$89</f>
        <v>1080629.1499826012</v>
      </c>
      <c r="Q63" s="151">
        <f ca="1">+Q68*Assumptions!$P$89</f>
        <v>1100011.4527916317</v>
      </c>
      <c r="R63" s="151">
        <f ca="1">+R68*Assumptions!$P$89</f>
        <v>1119975.224684933</v>
      </c>
      <c r="S63" s="151">
        <f ca="1">+S68*Assumptions!$P$89</f>
        <v>1149228.9575286652</v>
      </c>
      <c r="T63" s="151">
        <f ca="1">+T68*Assumptions!$P$89</f>
        <v>1170408.5231302688</v>
      </c>
      <c r="U63" s="151">
        <f ca="1">+U68*Assumptions!$P$89</f>
        <v>1192223.4756999204</v>
      </c>
      <c r="V63" s="151">
        <f ca="1">+V68*Assumptions!$P$89</f>
        <v>1223557.745596166</v>
      </c>
      <c r="W63" s="151">
        <f ca="1">+W68*Assumptions!$P$89</f>
        <v>1246701.2287773094</v>
      </c>
      <c r="X63" s="151">
        <f ca="1">+X68*Assumptions!$P$89</f>
        <v>1270539.0164538869</v>
      </c>
      <c r="Y63" s="151">
        <f ca="1">+Y68*Assumptions!$P$89</f>
        <v>1304134.1038852567</v>
      </c>
      <c r="Z63" s="151">
        <f ca="1">+Z68*Assumptions!$P$89</f>
        <v>1329423.6128313378</v>
      </c>
    </row>
    <row r="64" spans="1:26" x14ac:dyDescent="0.35">
      <c r="B64" s="137" t="s">
        <v>256</v>
      </c>
      <c r="C64" s="137"/>
      <c r="D64" s="137"/>
      <c r="E64" s="137"/>
      <c r="F64" s="129">
        <f t="shared" ref="F64:Z64" ca="1" si="21">+SUM(F61:F63)</f>
        <v>0</v>
      </c>
      <c r="G64" s="129">
        <f t="shared" ca="1" si="21"/>
        <v>0</v>
      </c>
      <c r="H64" s="129">
        <f t="shared" ca="1" si="21"/>
        <v>0</v>
      </c>
      <c r="I64" s="129">
        <f t="shared" ca="1" si="21"/>
        <v>1257194.0527317915</v>
      </c>
      <c r="J64" s="129">
        <f t="shared" ca="1" si="21"/>
        <v>2538337.4597944468</v>
      </c>
      <c r="K64" s="129">
        <f t="shared" ca="1" si="21"/>
        <v>2554569.8332552854</v>
      </c>
      <c r="L64" s="129">
        <f t="shared" ca="1" si="21"/>
        <v>2729247.1932858354</v>
      </c>
      <c r="M64" s="129">
        <f t="shared" ca="1" si="21"/>
        <v>2754821.6821059249</v>
      </c>
      <c r="N64" s="129">
        <f t="shared" ca="1" si="21"/>
        <v>2772559.2348606666</v>
      </c>
      <c r="O64" s="129">
        <f t="shared" ca="1" si="21"/>
        <v>2790828.9141980503</v>
      </c>
      <c r="P64" s="129">
        <f t="shared" ca="1" si="21"/>
        <v>2818167.3190073515</v>
      </c>
      <c r="Q64" s="129">
        <f t="shared" ca="1" si="21"/>
        <v>3011303.4387188572</v>
      </c>
      <c r="R64" s="129">
        <f t="shared" ca="1" si="21"/>
        <v>3031267.2106121583</v>
      </c>
      <c r="S64" s="129">
        <f t="shared" ca="1" si="21"/>
        <v>3060520.9434558908</v>
      </c>
      <c r="T64" s="129">
        <f t="shared" ca="1" si="21"/>
        <v>3081700.5090574943</v>
      </c>
      <c r="U64" s="129">
        <f t="shared" ca="1" si="21"/>
        <v>3103515.4616271462</v>
      </c>
      <c r="V64" s="129">
        <f t="shared" ca="1" si="21"/>
        <v>3325978.9301161151</v>
      </c>
      <c r="W64" s="129">
        <f t="shared" ca="1" si="21"/>
        <v>3349122.4132972583</v>
      </c>
      <c r="X64" s="129">
        <f t="shared" ca="1" si="21"/>
        <v>3372960.2009738358</v>
      </c>
      <c r="Y64" s="129">
        <f t="shared" ca="1" si="21"/>
        <v>3406555.2884052056</v>
      </c>
      <c r="Z64" s="129">
        <f t="shared" ca="1" si="21"/>
        <v>3431844.7973512867</v>
      </c>
    </row>
    <row r="66" spans="2:26" x14ac:dyDescent="0.35">
      <c r="B66" s="33" t="s">
        <v>395</v>
      </c>
      <c r="F66" s="34">
        <f>+F55*Assumptions!$P$121*'Phase III Pro Forma'!F59</f>
        <v>0</v>
      </c>
      <c r="G66" s="34">
        <f>+G55*Assumptions!$P$121*'Phase III Pro Forma'!G59</f>
        <v>0</v>
      </c>
      <c r="H66" s="34">
        <f>+H55*Assumptions!$P$121*'Phase III Pro Forma'!H59</f>
        <v>0</v>
      </c>
      <c r="I66" s="34">
        <f>+I55*Assumptions!$P$121*'Phase III Pro Forma'!I59</f>
        <v>291844.18304276152</v>
      </c>
      <c r="J66" s="34">
        <f>+J55*Assumptions!$P$121*'Phase III Pro Forma'!J59</f>
        <v>601199.01706808875</v>
      </c>
      <c r="K66" s="34">
        <f>+K55*Assumptions!$P$121*'Phase III Pro Forma'!K59</f>
        <v>619234.98758013139</v>
      </c>
      <c r="L66" s="34">
        <f>+L55*Assumptions!$P$121*'Phase III Pro Forma'!L59</f>
        <v>637812.03720753535</v>
      </c>
      <c r="M66" s="34">
        <f>+M55*Assumptions!$P$121*'Phase III Pro Forma'!M59</f>
        <v>656946.39832376153</v>
      </c>
      <c r="N66" s="34">
        <f>+N55*Assumptions!$P$121*'Phase III Pro Forma'!N59</f>
        <v>676654.79027347441</v>
      </c>
      <c r="O66" s="34">
        <f>+O55*Assumptions!$P$121*'Phase III Pro Forma'!O59</f>
        <v>696954.43398167868</v>
      </c>
      <c r="P66" s="34">
        <f>+P55*Assumptions!$P$121*'Phase III Pro Forma'!P59</f>
        <v>717863.06700112892</v>
      </c>
      <c r="Q66" s="34">
        <f>+Q55*Assumptions!$P$121*'Phase III Pro Forma'!Q59</f>
        <v>739398.95901116286</v>
      </c>
      <c r="R66" s="34">
        <f>+R55*Assumptions!$P$121*'Phase III Pro Forma'!R59</f>
        <v>761580.92778149771</v>
      </c>
      <c r="S66" s="34">
        <f>+S55*Assumptions!$P$121*'Phase III Pro Forma'!S59</f>
        <v>784428.35561494273</v>
      </c>
      <c r="T66" s="34">
        <f>+T55*Assumptions!$P$121*'Phase III Pro Forma'!T59</f>
        <v>807961.2062833911</v>
      </c>
      <c r="U66" s="34">
        <f>+U55*Assumptions!$P$121*'Phase III Pro Forma'!U59</f>
        <v>832200.0424718929</v>
      </c>
      <c r="V66" s="34">
        <f>+V55*Assumptions!$P$121*'Phase III Pro Forma'!V59</f>
        <v>857166.04374604975</v>
      </c>
      <c r="W66" s="34">
        <f>+W55*Assumptions!$P$121*'Phase III Pro Forma'!W59</f>
        <v>882881.0250584312</v>
      </c>
      <c r="X66" s="34">
        <f>+X55*Assumptions!$P$121*'Phase III Pro Forma'!X59</f>
        <v>909367.45581018412</v>
      </c>
      <c r="Y66" s="34">
        <f>+Y55*Assumptions!$P$121*'Phase III Pro Forma'!Y59</f>
        <v>936648.47948448977</v>
      </c>
      <c r="Z66" s="34">
        <f>+Z55*Assumptions!$P$121*'Phase III Pro Forma'!Z59</f>
        <v>964747.93386902451</v>
      </c>
    </row>
    <row r="67" spans="2:26" x14ac:dyDescent="0.35">
      <c r="B67" s="33" t="s">
        <v>331</v>
      </c>
      <c r="F67" s="151">
        <f ca="1">+IFERROR(INDEX('Taxes and TIF'!$AR$11:$AR$45,MATCH('Phase III Pro Forma'!F$7,'Taxes and TIF'!$AG$11:$AG$45,0)),0)*'Loan Sizing'!$M$17*F56</f>
        <v>0</v>
      </c>
      <c r="G67" s="151">
        <f ca="1">+IFERROR(INDEX('Taxes and TIF'!$AR$11:$AR$45,MATCH('Phase III Pro Forma'!G$7,'Taxes and TIF'!$AG$11:$AG$45,0)),0)*'Loan Sizing'!$M$17*G56</f>
        <v>0</v>
      </c>
      <c r="H67" s="151">
        <f ca="1">+IFERROR(INDEX('Taxes and TIF'!$AR$11:$AR$45,MATCH('Phase III Pro Forma'!H$7,'Taxes and TIF'!$AG$11:$AG$45,0)),0)*'Loan Sizing'!$M$17*H56</f>
        <v>0</v>
      </c>
      <c r="I67" s="151">
        <f ca="1">+IFERROR(INDEX('Taxes and TIF'!$AR$11:$AR$45,MATCH('Phase III Pro Forma'!I$7,'Taxes and TIF'!$AG$11:$AG$45,0)),0)*'Loan Sizing'!$M$17*I56</f>
        <v>227493.5679598602</v>
      </c>
      <c r="J67" s="151">
        <f ca="1">+IFERROR(INDEX('Taxes and TIF'!$AR$11:$AR$45,MATCH('Phase III Pro Forma'!J$7,'Taxes and TIF'!$AG$11:$AG$45,0)),0)*'Loan Sizing'!$M$17*J56</f>
        <v>464086.8786381149</v>
      </c>
      <c r="K67" s="151">
        <f ca="1">+IFERROR(INDEX('Taxes and TIF'!$AR$11:$AR$45,MATCH('Phase III Pro Forma'!K$7,'Taxes and TIF'!$AG$11:$AG$45,0)),0)*'Loan Sizing'!$M$17*K56</f>
        <v>464086.8786381149</v>
      </c>
      <c r="L67" s="151">
        <f ca="1">+IFERROR(INDEX('Taxes and TIF'!$AR$11:$AR$45,MATCH('Phase III Pro Forma'!L$7,'Taxes and TIF'!$AG$11:$AG$45,0)),0)*'Loan Sizing'!$M$17*L56</f>
        <v>464086.8786381149</v>
      </c>
      <c r="M67" s="151">
        <f ca="1">+IFERROR(INDEX('Taxes and TIF'!$AR$11:$AR$45,MATCH('Phase III Pro Forma'!M$7,'Taxes and TIF'!$AG$11:$AG$45,0)),0)*'Loan Sizing'!$M$17*M56</f>
        <v>473368.61621087708</v>
      </c>
      <c r="N67" s="151">
        <f ca="1">+IFERROR(INDEX('Taxes and TIF'!$AR$11:$AR$45,MATCH('Phase III Pro Forma'!N$7,'Taxes and TIF'!$AG$11:$AG$45,0)),0)*'Loan Sizing'!$M$17*N56</f>
        <v>473368.61621087708</v>
      </c>
      <c r="O67" s="151">
        <f ca="1">+IFERROR(INDEX('Taxes and TIF'!$AR$11:$AR$45,MATCH('Phase III Pro Forma'!O$7,'Taxes and TIF'!$AG$11:$AG$45,0)),0)*'Loan Sizing'!$M$17*O56</f>
        <v>473368.61621087708</v>
      </c>
      <c r="P67" s="151">
        <f ca="1">+IFERROR(INDEX('Taxes and TIF'!$AR$11:$AR$45,MATCH('Phase III Pro Forma'!P$7,'Taxes and TIF'!$AG$11:$AG$45,0)),0)*'Loan Sizing'!$M$17*P56</f>
        <v>482835.98853509472</v>
      </c>
      <c r="Q67" s="151">
        <f ca="1">+IFERROR(INDEX('Taxes and TIF'!$AR$11:$AR$45,MATCH('Phase III Pro Forma'!Q$7,'Taxes and TIF'!$AG$11:$AG$45,0)),0)*'Loan Sizing'!$M$17*Q56</f>
        <v>482835.98853509472</v>
      </c>
      <c r="R67" s="151">
        <f ca="1">+IFERROR(INDEX('Taxes and TIF'!$AR$11:$AR$45,MATCH('Phase III Pro Forma'!R$7,'Taxes and TIF'!$AG$11:$AG$45,0)),0)*'Loan Sizing'!$M$17*R56</f>
        <v>482835.98853509472</v>
      </c>
      <c r="S67" s="151">
        <f ca="1">+IFERROR(INDEX('Taxes and TIF'!$AR$11:$AR$45,MATCH('Phase III Pro Forma'!S$7,'Taxes and TIF'!$AG$11:$AG$45,0)),0)*'Loan Sizing'!$M$17*S56</f>
        <v>492492.70830579655</v>
      </c>
      <c r="T67" s="151">
        <f ca="1">+IFERROR(INDEX('Taxes and TIF'!$AR$11:$AR$45,MATCH('Phase III Pro Forma'!T$7,'Taxes and TIF'!$AG$11:$AG$45,0)),0)*'Loan Sizing'!$M$17*T56</f>
        <v>492492.70830579655</v>
      </c>
      <c r="U67" s="151">
        <f ca="1">+IFERROR(INDEX('Taxes and TIF'!$AR$11:$AR$45,MATCH('Phase III Pro Forma'!U$7,'Taxes and TIF'!$AG$11:$AG$45,0)),0)*'Loan Sizing'!$M$17*U56</f>
        <v>492492.70830579655</v>
      </c>
      <c r="V67" s="151">
        <f ca="1">+IFERROR(INDEX('Taxes and TIF'!$AR$11:$AR$45,MATCH('Phase III Pro Forma'!V$7,'Taxes and TIF'!$AG$11:$AG$45,0)),0)*'Loan Sizing'!$M$17*V56</f>
        <v>502342.56247191259</v>
      </c>
      <c r="W67" s="151">
        <f ca="1">+IFERROR(INDEX('Taxes and TIF'!$AR$11:$AR$45,MATCH('Phase III Pro Forma'!W$7,'Taxes and TIF'!$AG$11:$AG$45,0)),0)*'Loan Sizing'!$M$17*W56</f>
        <v>502342.56247191259</v>
      </c>
      <c r="X67" s="151">
        <f ca="1">+IFERROR(INDEX('Taxes and TIF'!$AR$11:$AR$45,MATCH('Phase III Pro Forma'!X$7,'Taxes and TIF'!$AG$11:$AG$45,0)),0)*'Loan Sizing'!$M$17*X56</f>
        <v>502342.56247191259</v>
      </c>
      <c r="Y67" s="151">
        <f ca="1">+IFERROR(INDEX('Taxes and TIF'!$AR$11:$AR$45,MATCH('Phase III Pro Forma'!Y$7,'Taxes and TIF'!$AG$11:$AG$45,0)),0)*'Loan Sizing'!$M$17*Y56</f>
        <v>512389.41372135084</v>
      </c>
      <c r="Z67" s="151">
        <f ca="1">+IFERROR(INDEX('Taxes and TIF'!$AR$11:$AR$45,MATCH('Phase III Pro Forma'!Z$7,'Taxes and TIF'!$AG$11:$AG$45,0)),0)*'Loan Sizing'!$M$17*Z56</f>
        <v>512389.41372135084</v>
      </c>
    </row>
    <row r="68" spans="2:26" x14ac:dyDescent="0.35">
      <c r="B68" s="137" t="s">
        <v>252</v>
      </c>
      <c r="C68" s="137"/>
      <c r="D68" s="137"/>
      <c r="E68" s="137"/>
      <c r="F68" s="129">
        <f ca="1">+SUM(F66:F67)</f>
        <v>0</v>
      </c>
      <c r="G68" s="129">
        <f t="shared" ref="G68" ca="1" si="22">+SUM(G66:G67)</f>
        <v>0</v>
      </c>
      <c r="H68" s="129">
        <f t="shared" ref="H68:Z68" ca="1" si="23">+SUM(H66:H67)</f>
        <v>0</v>
      </c>
      <c r="I68" s="129">
        <f t="shared" ca="1" si="23"/>
        <v>519337.75100262172</v>
      </c>
      <c r="J68" s="129">
        <f t="shared" ca="1" si="23"/>
        <v>1065285.8957062038</v>
      </c>
      <c r="K68" s="129">
        <f t="shared" ca="1" si="23"/>
        <v>1083321.8662182463</v>
      </c>
      <c r="L68" s="129">
        <f t="shared" ca="1" si="23"/>
        <v>1101898.9158456502</v>
      </c>
      <c r="M68" s="129">
        <f t="shared" ca="1" si="23"/>
        <v>1130315.0145346387</v>
      </c>
      <c r="N68" s="129">
        <f t="shared" ca="1" si="23"/>
        <v>1150023.4064843515</v>
      </c>
      <c r="O68" s="129">
        <f t="shared" ca="1" si="23"/>
        <v>1170323.0501925559</v>
      </c>
      <c r="P68" s="129">
        <f t="shared" ca="1" si="23"/>
        <v>1200699.0555362236</v>
      </c>
      <c r="Q68" s="129">
        <f t="shared" ca="1" si="23"/>
        <v>1222234.9475462576</v>
      </c>
      <c r="R68" s="129">
        <f t="shared" ca="1" si="23"/>
        <v>1244416.9163165924</v>
      </c>
      <c r="S68" s="129">
        <f t="shared" ca="1" si="23"/>
        <v>1276921.0639207393</v>
      </c>
      <c r="T68" s="129">
        <f t="shared" ca="1" si="23"/>
        <v>1300453.9145891876</v>
      </c>
      <c r="U68" s="129">
        <f t="shared" ca="1" si="23"/>
        <v>1324692.7507776895</v>
      </c>
      <c r="V68" s="129">
        <f t="shared" ca="1" si="23"/>
        <v>1359508.6062179622</v>
      </c>
      <c r="W68" s="129">
        <f t="shared" ca="1" si="23"/>
        <v>1385223.5875303438</v>
      </c>
      <c r="X68" s="129">
        <f t="shared" ca="1" si="23"/>
        <v>1411710.0182820968</v>
      </c>
      <c r="Y68" s="129">
        <f t="shared" ca="1" si="23"/>
        <v>1449037.8932058406</v>
      </c>
      <c r="Z68" s="129">
        <f t="shared" ca="1" si="23"/>
        <v>1477137.3475903752</v>
      </c>
    </row>
    <row r="69" spans="2:26" x14ac:dyDescent="0.35">
      <c r="B69" s="33"/>
    </row>
    <row r="70" spans="2:26" x14ac:dyDescent="0.35">
      <c r="B70" s="138" t="s">
        <v>251</v>
      </c>
      <c r="C70" s="138"/>
      <c r="D70" s="138"/>
      <c r="E70" s="138"/>
      <c r="F70" s="139">
        <f ca="1">+F64-F68</f>
        <v>0</v>
      </c>
      <c r="G70" s="139">
        <f t="shared" ref="G70:Z70" ca="1" si="24">+G64-G68</f>
        <v>0</v>
      </c>
      <c r="H70" s="139">
        <f t="shared" ca="1" si="24"/>
        <v>0</v>
      </c>
      <c r="I70" s="139">
        <f t="shared" ca="1" si="24"/>
        <v>737856.30172916979</v>
      </c>
      <c r="J70" s="139">
        <f t="shared" ca="1" si="24"/>
        <v>1473051.5640882431</v>
      </c>
      <c r="K70" s="139">
        <f t="shared" ca="1" si="24"/>
        <v>1471247.9670370391</v>
      </c>
      <c r="L70" s="139">
        <f t="shared" ca="1" si="24"/>
        <v>1627348.2774401852</v>
      </c>
      <c r="M70" s="139">
        <f t="shared" ca="1" si="24"/>
        <v>1624506.6675712862</v>
      </c>
      <c r="N70" s="139">
        <f t="shared" ca="1" si="24"/>
        <v>1622535.8283763151</v>
      </c>
      <c r="O70" s="139">
        <f t="shared" ca="1" si="24"/>
        <v>1620505.8640054944</v>
      </c>
      <c r="P70" s="139">
        <f t="shared" ca="1" si="24"/>
        <v>1617468.263471128</v>
      </c>
      <c r="Q70" s="139">
        <f t="shared" ca="1" si="24"/>
        <v>1789068.4911725996</v>
      </c>
      <c r="R70" s="139">
        <f t="shared" ca="1" si="24"/>
        <v>1786850.2942955659</v>
      </c>
      <c r="S70" s="139">
        <f t="shared" ca="1" si="24"/>
        <v>1783599.8795351514</v>
      </c>
      <c r="T70" s="139">
        <f t="shared" ca="1" si="24"/>
        <v>1781246.5944683068</v>
      </c>
      <c r="U70" s="139">
        <f t="shared" ca="1" si="24"/>
        <v>1778822.7108494567</v>
      </c>
      <c r="V70" s="139">
        <f t="shared" ca="1" si="24"/>
        <v>1966470.3238981529</v>
      </c>
      <c r="W70" s="139">
        <f t="shared" ca="1" si="24"/>
        <v>1963898.8257669145</v>
      </c>
      <c r="X70" s="139">
        <f t="shared" ca="1" si="24"/>
        <v>1961250.1826917389</v>
      </c>
      <c r="Y70" s="139">
        <f t="shared" ca="1" si="24"/>
        <v>1957517.395199365</v>
      </c>
      <c r="Z70" s="139">
        <f t="shared" ca="1" si="24"/>
        <v>1954707.4497609115</v>
      </c>
    </row>
    <row r="71" spans="2:26" x14ac:dyDescent="0.35">
      <c r="B71" s="143" t="s">
        <v>257</v>
      </c>
      <c r="C71" s="141"/>
      <c r="D71" s="141"/>
      <c r="E71" s="141"/>
      <c r="F71" s="144" t="str">
        <f ca="1">+IFERROR(F70/F64,"")</f>
        <v/>
      </c>
      <c r="G71" s="144" t="str">
        <f t="shared" ref="G71:Z71" ca="1" si="25">+IFERROR(G70/G64,"")</f>
        <v/>
      </c>
      <c r="H71" s="144" t="str">
        <f t="shared" ca="1" si="25"/>
        <v/>
      </c>
      <c r="I71" s="145">
        <f t="shared" ca="1" si="25"/>
        <v>0.58690724803053396</v>
      </c>
      <c r="J71" s="145">
        <f t="shared" ca="1" si="25"/>
        <v>0.58032140620401595</v>
      </c>
      <c r="K71" s="145">
        <f t="shared" ca="1" si="25"/>
        <v>0.57592787164570469</v>
      </c>
      <c r="L71" s="145">
        <f t="shared" ca="1" si="25"/>
        <v>0.59626269157428868</v>
      </c>
      <c r="M71" s="145">
        <f t="shared" ca="1" si="25"/>
        <v>0.58969576075407948</v>
      </c>
      <c r="N71" s="145">
        <f t="shared" ca="1" si="25"/>
        <v>0.58521232223839381</v>
      </c>
      <c r="O71" s="145">
        <f t="shared" ca="1" si="25"/>
        <v>0.58065396118025736</v>
      </c>
      <c r="P71" s="145">
        <f t="shared" ca="1" si="25"/>
        <v>0.57394330441701802</v>
      </c>
      <c r="Q71" s="145">
        <f t="shared" ca="1" si="25"/>
        <v>0.59411763961381092</v>
      </c>
      <c r="R71" s="145">
        <f t="shared" ca="1" si="25"/>
        <v>0.58947303887957636</v>
      </c>
      <c r="S71" s="145">
        <f t="shared" ca="1" si="25"/>
        <v>0.58277656401891476</v>
      </c>
      <c r="T71" s="145">
        <f t="shared" ca="1" si="25"/>
        <v>0.57800769063476654</v>
      </c>
      <c r="U71" s="145">
        <f t="shared" ca="1" si="25"/>
        <v>0.57316379855147725</v>
      </c>
      <c r="V71" s="145">
        <f t="shared" ca="1" si="25"/>
        <v>0.5912455746764157</v>
      </c>
      <c r="W71" s="145">
        <f t="shared" ca="1" si="25"/>
        <v>0.58639207034341523</v>
      </c>
      <c r="X71" s="145">
        <f t="shared" ca="1" si="25"/>
        <v>0.58146259245083587</v>
      </c>
      <c r="Y71" s="145">
        <f t="shared" ca="1" si="25"/>
        <v>0.57463250394382581</v>
      </c>
      <c r="Z71" s="145">
        <f t="shared" ca="1" si="25"/>
        <v>0.56957921036218295</v>
      </c>
    </row>
    <row r="72" spans="2:26" x14ac:dyDescent="0.35">
      <c r="B72" s="143" t="s">
        <v>191</v>
      </c>
      <c r="C72" s="141"/>
      <c r="D72" s="141"/>
      <c r="E72" s="141"/>
      <c r="F72" s="142">
        <f ca="1">+F70/Assumptions!$P$130</f>
        <v>0</v>
      </c>
      <c r="G72" s="142">
        <f ca="1">+G70/Assumptions!$P$130</f>
        <v>0</v>
      </c>
      <c r="H72" s="142">
        <f ca="1">+H70/Assumptions!$P$130</f>
        <v>0</v>
      </c>
      <c r="I72" s="142">
        <f ca="1">+I70/Assumptions!$P$130</f>
        <v>11351635.411217997</v>
      </c>
      <c r="J72" s="142">
        <f ca="1">+J70/Assumptions!$P$130</f>
        <v>22662331.755203739</v>
      </c>
      <c r="K72" s="142">
        <f ca="1">+K70/Assumptions!$P$130</f>
        <v>22634584.10826214</v>
      </c>
      <c r="L72" s="142">
        <f ca="1">+L70/Assumptions!$P$130</f>
        <v>25036127.345233619</v>
      </c>
      <c r="M72" s="142">
        <f ca="1">+M70/Assumptions!$P$130</f>
        <v>24992410.270327479</v>
      </c>
      <c r="N72" s="142">
        <f ca="1">+N70/Assumptions!$P$130</f>
        <v>24962089.667327922</v>
      </c>
      <c r="O72" s="142">
        <f ca="1">+O70/Assumptions!$P$130</f>
        <v>24930859.446238376</v>
      </c>
      <c r="P72" s="142">
        <f ca="1">+P70/Assumptions!$P$130</f>
        <v>24884127.130325045</v>
      </c>
      <c r="Q72" s="142">
        <f ca="1">+Q70/Assumptions!$P$130</f>
        <v>27524130.63342461</v>
      </c>
      <c r="R72" s="142">
        <f ca="1">+R70/Assumptions!$P$130</f>
        <v>27490004.527624089</v>
      </c>
      <c r="S72" s="142">
        <f ca="1">+S70/Assumptions!$P$130</f>
        <v>27439998.146694638</v>
      </c>
      <c r="T72" s="142">
        <f ca="1">+T70/Assumptions!$P$130</f>
        <v>27403793.761050873</v>
      </c>
      <c r="U72" s="142">
        <f ca="1">+U70/Assumptions!$P$130</f>
        <v>27366503.243837796</v>
      </c>
      <c r="V72" s="142">
        <f ca="1">+V70/Assumptions!$P$130</f>
        <v>30253389.598433122</v>
      </c>
      <c r="W72" s="142">
        <f ca="1">+W70/Assumptions!$P$130</f>
        <v>30213828.08872176</v>
      </c>
      <c r="X72" s="142">
        <f ca="1">+X70/Assumptions!$P$130</f>
        <v>30173079.733719058</v>
      </c>
      <c r="Y72" s="142">
        <f ca="1">+Y70/Assumptions!$P$130</f>
        <v>30115652.233836383</v>
      </c>
      <c r="Z72" s="142">
        <f ca="1">+Z70/Assumptions!$P$130</f>
        <v>30072422.304014023</v>
      </c>
    </row>
    <row r="74" spans="2:26" x14ac:dyDescent="0.35">
      <c r="B74" s="148" t="s">
        <v>147</v>
      </c>
      <c r="C74" s="149"/>
      <c r="D74" s="149"/>
      <c r="E74" s="149"/>
      <c r="F74" s="150">
        <f>+Assumptions!$H$22</f>
        <v>45657</v>
      </c>
      <c r="G74" s="150">
        <f>+EOMONTH(F74,12)</f>
        <v>46022</v>
      </c>
      <c r="H74" s="150">
        <f t="shared" ref="H74:Z74" si="26">+EOMONTH(G74,12)</f>
        <v>46387</v>
      </c>
      <c r="I74" s="150">
        <f t="shared" si="26"/>
        <v>46752</v>
      </c>
      <c r="J74" s="150">
        <f t="shared" si="26"/>
        <v>47118</v>
      </c>
      <c r="K74" s="150">
        <f t="shared" si="26"/>
        <v>47483</v>
      </c>
      <c r="L74" s="150">
        <f t="shared" si="26"/>
        <v>47848</v>
      </c>
      <c r="M74" s="150">
        <f t="shared" si="26"/>
        <v>48213</v>
      </c>
      <c r="N74" s="150">
        <f t="shared" si="26"/>
        <v>48579</v>
      </c>
      <c r="O74" s="150">
        <f t="shared" si="26"/>
        <v>48944</v>
      </c>
      <c r="P74" s="150">
        <f t="shared" si="26"/>
        <v>49309</v>
      </c>
      <c r="Q74" s="150">
        <f t="shared" si="26"/>
        <v>49674</v>
      </c>
      <c r="R74" s="150">
        <f t="shared" si="26"/>
        <v>50040</v>
      </c>
      <c r="S74" s="150">
        <f t="shared" si="26"/>
        <v>50405</v>
      </c>
      <c r="T74" s="150">
        <f t="shared" si="26"/>
        <v>50770</v>
      </c>
      <c r="U74" s="150">
        <f t="shared" si="26"/>
        <v>51135</v>
      </c>
      <c r="V74" s="150">
        <f t="shared" si="26"/>
        <v>51501</v>
      </c>
      <c r="W74" s="150">
        <f t="shared" si="26"/>
        <v>51866</v>
      </c>
      <c r="X74" s="150">
        <f t="shared" si="26"/>
        <v>52231</v>
      </c>
      <c r="Y74" s="150">
        <f t="shared" si="26"/>
        <v>52596</v>
      </c>
      <c r="Z74" s="150">
        <f t="shared" si="26"/>
        <v>52962</v>
      </c>
    </row>
    <row r="75" spans="2:26" x14ac:dyDescent="0.35">
      <c r="B75" s="33" t="s">
        <v>766</v>
      </c>
      <c r="C75" s="33"/>
      <c r="D75" s="40"/>
      <c r="E75" s="40"/>
      <c r="F75" s="42">
        <f>+IF(AND(F74&gt;=Assumptions!$H$26,F74&lt;Assumptions!$H$28),Assumptions!$H$154/ROUNDUP((Assumptions!$H$27/12),0),0)</f>
        <v>0</v>
      </c>
      <c r="G75" s="42">
        <f>+IF(AND(G74&gt;=Assumptions!$H$26,G74&lt;Assumptions!$H$28),Assumptions!$H$154/ROUNDUP((Assumptions!$H$27/12),0),0)</f>
        <v>0</v>
      </c>
      <c r="H75" s="42">
        <f>+IF(AND(H74&gt;=Assumptions!$H$26,H74&lt;Assumptions!$H$28),Assumptions!$H$154/ROUNDUP((Assumptions!$H$27/12),0),0)</f>
        <v>0</v>
      </c>
      <c r="I75" s="42">
        <f>+IF(AND(I74&gt;=Assumptions!$H$26,I74&lt;Assumptions!$H$28),Assumptions!$H$154/ROUNDUP((Assumptions!$H$27/12),0),0)</f>
        <v>39105</v>
      </c>
      <c r="J75" s="42">
        <f>+IF(AND(J74&gt;=Assumptions!$H$26,J74&lt;Assumptions!$H$28),Assumptions!$H$154/ROUNDUP((Assumptions!$H$27/12),0),0)</f>
        <v>39105</v>
      </c>
      <c r="K75" s="42">
        <f>+IF(AND(K74&gt;=Assumptions!$H$26,K74&lt;Assumptions!$H$28),Assumptions!$H$154/ROUNDUP((Assumptions!$H$27/12),0),0)</f>
        <v>0</v>
      </c>
      <c r="L75" s="42">
        <f>+IF(AND(L74&gt;=Assumptions!$H$26,L74&lt;Assumptions!$H$28),Assumptions!$H$154/ROUNDUP((Assumptions!$H$27/12),0),0)</f>
        <v>0</v>
      </c>
      <c r="M75" s="42">
        <f>+IF(AND(M74&gt;=Assumptions!$H$26,M74&lt;Assumptions!$H$28),Assumptions!$H$154/ROUNDUP((Assumptions!$H$27/12),0),0)</f>
        <v>0</v>
      </c>
      <c r="N75" s="42">
        <f>+IF(AND(N74&gt;=Assumptions!$H$26,N74&lt;Assumptions!$H$28),Assumptions!$H$154/ROUNDUP((Assumptions!$H$27/12),0),0)</f>
        <v>0</v>
      </c>
      <c r="O75" s="42">
        <f>+IF(AND(O74&gt;=Assumptions!$H$26,O74&lt;Assumptions!$H$28),Assumptions!$H$154/ROUNDUP((Assumptions!$H$27/12),0),0)</f>
        <v>0</v>
      </c>
      <c r="P75" s="42">
        <f>+IF(AND(P74&gt;=Assumptions!$H$26,P74&lt;Assumptions!$H$28),Assumptions!$H$154/ROUNDUP((Assumptions!$H$27/12),0),0)</f>
        <v>0</v>
      </c>
      <c r="Q75" s="42">
        <f>+IF(AND(Q74&gt;=Assumptions!$H$26,Q74&lt;Assumptions!$H$28),Assumptions!$H$154/ROUNDUP((Assumptions!$H$27/12),0),0)</f>
        <v>0</v>
      </c>
      <c r="R75" s="42">
        <f>+IF(AND(R74&gt;=Assumptions!$H$26,R74&lt;Assumptions!$H$28),Assumptions!$H$154/ROUNDUP((Assumptions!$H$27/12),0),0)</f>
        <v>0</v>
      </c>
      <c r="S75" s="42">
        <f>+IF(AND(S74&gt;=Assumptions!$H$26,S74&lt;Assumptions!$H$28),Assumptions!$H$154/ROUNDUP((Assumptions!$H$27/12),0),0)</f>
        <v>0</v>
      </c>
      <c r="T75" s="42">
        <f>+IF(AND(T74&gt;=Assumptions!$H$26,T74&lt;Assumptions!$H$28),Assumptions!$H$154/ROUNDUP((Assumptions!$H$27/12),0),0)</f>
        <v>0</v>
      </c>
      <c r="U75" s="42">
        <f>+IF(AND(U74&gt;=Assumptions!$H$26,U74&lt;Assumptions!$H$28),Assumptions!$H$154/ROUNDUP((Assumptions!$H$27/12),0),0)</f>
        <v>0</v>
      </c>
      <c r="V75" s="42">
        <f>+IF(AND(V74&gt;=Assumptions!$H$26,V74&lt;Assumptions!$H$28),Assumptions!$H$154/ROUNDUP((Assumptions!$H$27/12),0),0)</f>
        <v>0</v>
      </c>
      <c r="W75" s="42">
        <f>+IF(AND(W74&gt;=Assumptions!$H$26,W74&lt;Assumptions!$H$28),Assumptions!$H$154/ROUNDUP((Assumptions!$H$27/12),0),0)</f>
        <v>0</v>
      </c>
      <c r="X75" s="42">
        <f>+IF(AND(X74&gt;=Assumptions!$H$26,X74&lt;Assumptions!$H$28),Assumptions!$H$154/ROUNDUP((Assumptions!$H$27/12),0),0)</f>
        <v>0</v>
      </c>
      <c r="Y75" s="42">
        <f>+IF(AND(Y74&gt;=Assumptions!$H$26,Y74&lt;Assumptions!$H$28),Assumptions!$H$154/ROUNDUP((Assumptions!$H$27/12),0),0)</f>
        <v>0</v>
      </c>
      <c r="Z75" s="42">
        <f>+IF(AND(Z74&gt;=Assumptions!$H$26,Z74&lt;Assumptions!$H$28),Assumptions!$H$154/ROUNDUP((Assumptions!$H$27/12),0),0)</f>
        <v>0</v>
      </c>
    </row>
    <row r="76" spans="2:26" x14ac:dyDescent="0.35">
      <c r="B76" s="33" t="s">
        <v>249</v>
      </c>
      <c r="C76" s="33"/>
      <c r="D76" s="42"/>
      <c r="E76" s="42"/>
      <c r="F76" s="42">
        <f>+D76+F75</f>
        <v>0</v>
      </c>
      <c r="G76" s="42">
        <f t="shared" ref="G76:Z76" si="27">+F76+G75</f>
        <v>0</v>
      </c>
      <c r="H76" s="42">
        <f t="shared" si="27"/>
        <v>0</v>
      </c>
      <c r="I76" s="42">
        <f t="shared" si="27"/>
        <v>39105</v>
      </c>
      <c r="J76" s="42">
        <f t="shared" si="27"/>
        <v>78210</v>
      </c>
      <c r="K76" s="42">
        <f t="shared" si="27"/>
        <v>78210</v>
      </c>
      <c r="L76" s="42">
        <f t="shared" si="27"/>
        <v>78210</v>
      </c>
      <c r="M76" s="42">
        <f t="shared" si="27"/>
        <v>78210</v>
      </c>
      <c r="N76" s="42">
        <f t="shared" si="27"/>
        <v>78210</v>
      </c>
      <c r="O76" s="42">
        <f t="shared" si="27"/>
        <v>78210</v>
      </c>
      <c r="P76" s="42">
        <f t="shared" si="27"/>
        <v>78210</v>
      </c>
      <c r="Q76" s="42">
        <f t="shared" si="27"/>
        <v>78210</v>
      </c>
      <c r="R76" s="42">
        <f t="shared" si="27"/>
        <v>78210</v>
      </c>
      <c r="S76" s="42">
        <f t="shared" si="27"/>
        <v>78210</v>
      </c>
      <c r="T76" s="42">
        <f t="shared" si="27"/>
        <v>78210</v>
      </c>
      <c r="U76" s="42">
        <f t="shared" si="27"/>
        <v>78210</v>
      </c>
      <c r="V76" s="42">
        <f t="shared" si="27"/>
        <v>78210</v>
      </c>
      <c r="W76" s="42">
        <f t="shared" si="27"/>
        <v>78210</v>
      </c>
      <c r="X76" s="42">
        <f t="shared" si="27"/>
        <v>78210</v>
      </c>
      <c r="Y76" s="42">
        <f t="shared" si="27"/>
        <v>78210</v>
      </c>
      <c r="Z76" s="42">
        <f t="shared" si="27"/>
        <v>78210</v>
      </c>
    </row>
    <row r="77" spans="2:26" x14ac:dyDescent="0.35">
      <c r="B77" s="33" t="s">
        <v>306</v>
      </c>
      <c r="C77" s="33"/>
      <c r="D77" s="42"/>
      <c r="E77" s="42"/>
      <c r="F77" s="108">
        <f t="shared" ref="F77:Z77" si="28">+F76/SUM($F75:$Z75)</f>
        <v>0</v>
      </c>
      <c r="G77" s="108">
        <f t="shared" si="28"/>
        <v>0</v>
      </c>
      <c r="H77" s="108">
        <f t="shared" si="28"/>
        <v>0</v>
      </c>
      <c r="I77" s="108">
        <f t="shared" si="28"/>
        <v>0.5</v>
      </c>
      <c r="J77" s="108">
        <f t="shared" si="28"/>
        <v>1</v>
      </c>
      <c r="K77" s="108">
        <f t="shared" si="28"/>
        <v>1</v>
      </c>
      <c r="L77" s="108">
        <f t="shared" si="28"/>
        <v>1</v>
      </c>
      <c r="M77" s="108">
        <f t="shared" si="28"/>
        <v>1</v>
      </c>
      <c r="N77" s="108">
        <f t="shared" si="28"/>
        <v>1</v>
      </c>
      <c r="O77" s="108">
        <f t="shared" si="28"/>
        <v>1</v>
      </c>
      <c r="P77" s="108">
        <f t="shared" si="28"/>
        <v>1</v>
      </c>
      <c r="Q77" s="108">
        <f t="shared" si="28"/>
        <v>1</v>
      </c>
      <c r="R77" s="108">
        <f t="shared" si="28"/>
        <v>1</v>
      </c>
      <c r="S77" s="108">
        <f t="shared" si="28"/>
        <v>1</v>
      </c>
      <c r="T77" s="108">
        <f t="shared" si="28"/>
        <v>1</v>
      </c>
      <c r="U77" s="108">
        <f t="shared" si="28"/>
        <v>1</v>
      </c>
      <c r="V77" s="108">
        <f t="shared" si="28"/>
        <v>1</v>
      </c>
      <c r="W77" s="108">
        <f t="shared" si="28"/>
        <v>1</v>
      </c>
      <c r="X77" s="108">
        <f t="shared" si="28"/>
        <v>1</v>
      </c>
      <c r="Y77" s="108">
        <f t="shared" si="28"/>
        <v>1</v>
      </c>
      <c r="Z77" s="108">
        <f t="shared" si="28"/>
        <v>1</v>
      </c>
    </row>
    <row r="78" spans="2:26" x14ac:dyDescent="0.35">
      <c r="B78" s="33"/>
      <c r="C78" s="33"/>
      <c r="D78" s="40"/>
      <c r="E78" s="40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2:26" x14ac:dyDescent="0.35">
      <c r="B79" s="33" t="s">
        <v>254</v>
      </c>
      <c r="C79" s="33"/>
      <c r="D79" s="42"/>
      <c r="E79" s="42"/>
      <c r="F79" s="108">
        <v>1</v>
      </c>
      <c r="G79" s="108">
        <f>+IF(MOD(G$2,Assumptions!$P$69)=(Assumptions!$P$69-1),F79*(1+Assumptions!$P$68),'Phase III Pro Forma'!F79)</f>
        <v>1</v>
      </c>
      <c r="H79" s="108">
        <f>+IF(MOD(H$2,Assumptions!$P$69)=(Assumptions!$P$69-1),G79*(1+Assumptions!$P$68),'Phase III Pro Forma'!G79)</f>
        <v>1</v>
      </c>
      <c r="I79" s="108">
        <f>+IF(MOD(I$2,Assumptions!$P$69)=(Assumptions!$P$69-1),H79*(1+Assumptions!$P$68),'Phase III Pro Forma'!H79)</f>
        <v>1</v>
      </c>
      <c r="J79" s="108">
        <f>+IF(MOD(J$2,Assumptions!$P$69)=(Assumptions!$P$69-1),I79*(1+Assumptions!$P$68),'Phase III Pro Forma'!I79)</f>
        <v>1</v>
      </c>
      <c r="K79" s="108">
        <f>+IF(MOD(K$2,Assumptions!$P$69)=(Assumptions!$P$69-1),J79*(1+Assumptions!$P$68),'Phase III Pro Forma'!J79)</f>
        <v>1</v>
      </c>
      <c r="L79" s="108">
        <f>+IF(MOD(L$2,Assumptions!$P$69)=(Assumptions!$P$69-1),K79*(1+Assumptions!$P$68),'Phase III Pro Forma'!K79)</f>
        <v>1.05</v>
      </c>
      <c r="M79" s="108">
        <f>+IF(MOD(M$2,Assumptions!$P$69)=(Assumptions!$P$69-1),L79*(1+Assumptions!$P$68),'Phase III Pro Forma'!L79)</f>
        <v>1.05</v>
      </c>
      <c r="N79" s="108">
        <f>+IF(MOD(N$2,Assumptions!$P$69)=(Assumptions!$P$69-1),M79*(1+Assumptions!$P$68),'Phase III Pro Forma'!M79)</f>
        <v>1.05</v>
      </c>
      <c r="O79" s="108">
        <f>+IF(MOD(O$2,Assumptions!$P$69)=(Assumptions!$P$69-1),N79*(1+Assumptions!$P$68),'Phase III Pro Forma'!N79)</f>
        <v>1.05</v>
      </c>
      <c r="P79" s="108">
        <f>+IF(MOD(P$2,Assumptions!$P$69)=(Assumptions!$P$69-1),O79*(1+Assumptions!$P$68),'Phase III Pro Forma'!O79)</f>
        <v>1.05</v>
      </c>
      <c r="Q79" s="108">
        <f>+IF(MOD(Q$2,Assumptions!$P$69)=(Assumptions!$P$69-1),P79*(1+Assumptions!$P$68),'Phase III Pro Forma'!P79)</f>
        <v>1.1025</v>
      </c>
      <c r="R79" s="108">
        <f>+IF(MOD(R$2,Assumptions!$P$69)=(Assumptions!$P$69-1),Q79*(1+Assumptions!$P$68),'Phase III Pro Forma'!Q79)</f>
        <v>1.1025</v>
      </c>
      <c r="S79" s="108">
        <f>+IF(MOD(S$2,Assumptions!$P$69)=(Assumptions!$P$69-1),R79*(1+Assumptions!$P$68),'Phase III Pro Forma'!R79)</f>
        <v>1.1025</v>
      </c>
      <c r="T79" s="108">
        <f>+IF(MOD(T$2,Assumptions!$P$69)=(Assumptions!$P$69-1),S79*(1+Assumptions!$P$68),'Phase III Pro Forma'!S79)</f>
        <v>1.1025</v>
      </c>
      <c r="U79" s="108">
        <f>+IF(MOD(U$2,Assumptions!$P$69)=(Assumptions!$P$69-1),T79*(1+Assumptions!$P$68),'Phase III Pro Forma'!T79)</f>
        <v>1.1025</v>
      </c>
      <c r="V79" s="108">
        <f>+IF(MOD(V$2,Assumptions!$P$69)=(Assumptions!$P$69-1),U79*(1+Assumptions!$P$68),'Phase III Pro Forma'!U79)</f>
        <v>1.1576250000000001</v>
      </c>
      <c r="W79" s="108">
        <f>+IF(MOD(W$2,Assumptions!$P$69)=(Assumptions!$P$69-1),V79*(1+Assumptions!$P$68),'Phase III Pro Forma'!V79)</f>
        <v>1.1576250000000001</v>
      </c>
      <c r="X79" s="108">
        <f>+IF(MOD(X$2,Assumptions!$P$69)=(Assumptions!$P$69-1),W79*(1+Assumptions!$P$68),'Phase III Pro Forma'!W79)</f>
        <v>1.1576250000000001</v>
      </c>
      <c r="Y79" s="108">
        <f>+IF(MOD(Y$2,Assumptions!$P$69)=(Assumptions!$P$69-1),X79*(1+Assumptions!$P$68),'Phase III Pro Forma'!X79)</f>
        <v>1.1576250000000001</v>
      </c>
      <c r="Z79" s="108">
        <f>+IF(MOD(Z$2,Assumptions!$P$69)=(Assumptions!$P$69-1),Y79*(1+Assumptions!$P$68),'Phase III Pro Forma'!Y79)</f>
        <v>1.1576250000000001</v>
      </c>
    </row>
    <row r="80" spans="2:26" x14ac:dyDescent="0.35">
      <c r="B80" s="33" t="s">
        <v>255</v>
      </c>
      <c r="C80" s="33"/>
      <c r="D80" s="42"/>
      <c r="E80" s="42"/>
      <c r="F80" s="108">
        <v>1</v>
      </c>
      <c r="G80" s="108">
        <f>+F80*(1+Assumptions!$P$79)</f>
        <v>1.03</v>
      </c>
      <c r="H80" s="108">
        <f>+G80*(1+Assumptions!$P$79)</f>
        <v>1.0609</v>
      </c>
      <c r="I80" s="108">
        <f>+H80*(1+Assumptions!$P$79)</f>
        <v>1.092727</v>
      </c>
      <c r="J80" s="108">
        <f>+I80*(1+Assumptions!$P$79)</f>
        <v>1.1255088100000001</v>
      </c>
      <c r="K80" s="108">
        <f>+J80*(1+Assumptions!$P$79)</f>
        <v>1.1592740743000001</v>
      </c>
      <c r="L80" s="108">
        <f>+K80*(1+Assumptions!$P$79)</f>
        <v>1.1940522965290001</v>
      </c>
      <c r="M80" s="108">
        <f>+L80*(1+Assumptions!$P$79)</f>
        <v>1.2298738654248702</v>
      </c>
      <c r="N80" s="108">
        <f>+M80*(1+Assumptions!$P$79)</f>
        <v>1.2667700813876164</v>
      </c>
      <c r="O80" s="108">
        <f>+N80*(1+Assumptions!$P$79)</f>
        <v>1.3047731838292449</v>
      </c>
      <c r="P80" s="108">
        <f>+O80*(1+Assumptions!$P$79)</f>
        <v>1.3439163793441222</v>
      </c>
      <c r="Q80" s="108">
        <f>+P80*(1+Assumptions!$P$79)</f>
        <v>1.3842338707244459</v>
      </c>
      <c r="R80" s="108">
        <f>+Q80*(1+Assumptions!$P$79)</f>
        <v>1.4257608868461793</v>
      </c>
      <c r="S80" s="108">
        <f>+R80*(1+Assumptions!$P$79)</f>
        <v>1.4685337134515648</v>
      </c>
      <c r="T80" s="108">
        <f>+S80*(1+Assumptions!$P$79)</f>
        <v>1.5125897248551119</v>
      </c>
      <c r="U80" s="108">
        <f>+T80*(1+Assumptions!$P$79)</f>
        <v>1.5579674166007653</v>
      </c>
      <c r="V80" s="108">
        <f>+U80*(1+Assumptions!$P$79)</f>
        <v>1.6047064390987884</v>
      </c>
      <c r="W80" s="108">
        <f>+V80*(1+Assumptions!$P$79)</f>
        <v>1.652847632271752</v>
      </c>
      <c r="X80" s="108">
        <f>+W80*(1+Assumptions!$P$79)</f>
        <v>1.7024330612399046</v>
      </c>
      <c r="Y80" s="108">
        <f>+X80*(1+Assumptions!$P$79)</f>
        <v>1.7535060530771018</v>
      </c>
      <c r="Z80" s="108">
        <f>+Y80*(1+Assumptions!$P$79)</f>
        <v>1.806111234669415</v>
      </c>
    </row>
    <row r="81" spans="2:26" x14ac:dyDescent="0.35">
      <c r="B81" s="33"/>
      <c r="C81" s="33"/>
      <c r="D81" s="40"/>
      <c r="E81" s="40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2:26" x14ac:dyDescent="0.35">
      <c r="B82" s="33" t="s">
        <v>246</v>
      </c>
      <c r="C82" s="33"/>
      <c r="D82" s="40"/>
      <c r="E82" s="40"/>
      <c r="F82" s="34">
        <f>+F77*Assumptions!$H$153*F79</f>
        <v>0</v>
      </c>
      <c r="G82" s="34">
        <f>+G77*Assumptions!$H$153*G79</f>
        <v>0</v>
      </c>
      <c r="H82" s="34">
        <f>+H77*Assumptions!$H$153*H79</f>
        <v>0</v>
      </c>
      <c r="I82" s="34">
        <f>+I77*Assumptions!$H$153*I79</f>
        <v>391050</v>
      </c>
      <c r="J82" s="34">
        <f>+J77*Assumptions!$H$153*J79</f>
        <v>782100</v>
      </c>
      <c r="K82" s="34">
        <f>+K77*Assumptions!$H$153*K79</f>
        <v>782100</v>
      </c>
      <c r="L82" s="34">
        <f>+L77*Assumptions!$H$153*L79</f>
        <v>821205</v>
      </c>
      <c r="M82" s="34">
        <f>+M77*Assumptions!$H$153*M79</f>
        <v>821205</v>
      </c>
      <c r="N82" s="34">
        <f>+N77*Assumptions!$H$153*N79</f>
        <v>821205</v>
      </c>
      <c r="O82" s="34">
        <f>+O77*Assumptions!$H$153*O79</f>
        <v>821205</v>
      </c>
      <c r="P82" s="34">
        <f>+P77*Assumptions!$H$153*P79</f>
        <v>821205</v>
      </c>
      <c r="Q82" s="34">
        <f>+Q77*Assumptions!$H$153*Q79</f>
        <v>862265.25</v>
      </c>
      <c r="R82" s="34">
        <f>+R77*Assumptions!$H$153*R79</f>
        <v>862265.25</v>
      </c>
      <c r="S82" s="34">
        <f>+S77*Assumptions!$H$153*S79</f>
        <v>862265.25</v>
      </c>
      <c r="T82" s="34">
        <f>+T77*Assumptions!$H$153*T79</f>
        <v>862265.25</v>
      </c>
      <c r="U82" s="34">
        <f>+U77*Assumptions!$H$153*U79</f>
        <v>862265.25</v>
      </c>
      <c r="V82" s="34">
        <f>+V77*Assumptions!$H$153*V79</f>
        <v>905378.51250000007</v>
      </c>
      <c r="W82" s="34">
        <f>+W77*Assumptions!$H$153*W79</f>
        <v>905378.51250000007</v>
      </c>
      <c r="X82" s="34">
        <f>+X77*Assumptions!$H$153*X79</f>
        <v>905378.51250000007</v>
      </c>
      <c r="Y82" s="34">
        <f>+Y77*Assumptions!$H$153*Y79</f>
        <v>905378.51250000007</v>
      </c>
      <c r="Z82" s="34">
        <f>+Z77*Assumptions!$H$153*Z79</f>
        <v>905378.51250000007</v>
      </c>
    </row>
    <row r="83" spans="2:26" x14ac:dyDescent="0.35">
      <c r="B83" s="33" t="s">
        <v>247</v>
      </c>
      <c r="C83" s="33"/>
      <c r="D83" s="40"/>
      <c r="E83" s="40"/>
      <c r="F83" s="42">
        <f>-F82*Assumptions!$P$57</f>
        <v>0</v>
      </c>
      <c r="G83" s="42">
        <f>-G82*Assumptions!$P$57</f>
        <v>0</v>
      </c>
      <c r="H83" s="42">
        <f>-H82*Assumptions!$P$57</f>
        <v>0</v>
      </c>
      <c r="I83" s="42">
        <f>-I82*Assumptions!$P$57</f>
        <v>-19552.5</v>
      </c>
      <c r="J83" s="42">
        <f>-J82*Assumptions!$P$57</f>
        <v>-39105</v>
      </c>
      <c r="K83" s="42">
        <f>-K82*Assumptions!$P$57</f>
        <v>-39105</v>
      </c>
      <c r="L83" s="42">
        <f>-L82*Assumptions!$P$57</f>
        <v>-41060.25</v>
      </c>
      <c r="M83" s="42">
        <f>-M82*Assumptions!$P$57</f>
        <v>-41060.25</v>
      </c>
      <c r="N83" s="42">
        <f>-N82*Assumptions!$P$57</f>
        <v>-41060.25</v>
      </c>
      <c r="O83" s="42">
        <f>-O82*Assumptions!$P$57</f>
        <v>-41060.25</v>
      </c>
      <c r="P83" s="42">
        <f>-P82*Assumptions!$P$57</f>
        <v>-41060.25</v>
      </c>
      <c r="Q83" s="42">
        <f>-Q82*Assumptions!$P$57</f>
        <v>-43113.262500000004</v>
      </c>
      <c r="R83" s="42">
        <f>-R82*Assumptions!$P$57</f>
        <v>-43113.262500000004</v>
      </c>
      <c r="S83" s="42">
        <f>-S82*Assumptions!$P$57</f>
        <v>-43113.262500000004</v>
      </c>
      <c r="T83" s="42">
        <f>-T82*Assumptions!$P$57</f>
        <v>-43113.262500000004</v>
      </c>
      <c r="U83" s="42">
        <f>-U82*Assumptions!$P$57</f>
        <v>-43113.262500000004</v>
      </c>
      <c r="V83" s="42">
        <f>-V82*Assumptions!$P$57</f>
        <v>-45268.925625000003</v>
      </c>
      <c r="W83" s="42">
        <f>-W82*Assumptions!$P$57</f>
        <v>-45268.925625000003</v>
      </c>
      <c r="X83" s="42">
        <f>-X82*Assumptions!$P$57</f>
        <v>-45268.925625000003</v>
      </c>
      <c r="Y83" s="42">
        <f>-Y82*Assumptions!$P$57</f>
        <v>-45268.925625000003</v>
      </c>
      <c r="Z83" s="42">
        <f>-Z82*Assumptions!$P$57</f>
        <v>-45268.925625000003</v>
      </c>
    </row>
    <row r="84" spans="2:26" x14ac:dyDescent="0.35">
      <c r="B84" s="33" t="s">
        <v>262</v>
      </c>
      <c r="C84" s="33"/>
      <c r="D84" s="40"/>
      <c r="E84" s="40"/>
      <c r="F84" s="151">
        <f ca="1">+F89*Assumptions!$P$90</f>
        <v>0</v>
      </c>
      <c r="G84" s="151">
        <f ca="1">+G89*Assumptions!$P$90</f>
        <v>0</v>
      </c>
      <c r="H84" s="151">
        <f ca="1">+H89*Assumptions!$P$90</f>
        <v>0</v>
      </c>
      <c r="I84" s="151">
        <f ca="1">+I89*Assumptions!$P$90</f>
        <v>438661.07397351327</v>
      </c>
      <c r="J84" s="151">
        <f ca="1">+J89*Assumptions!$P$90</f>
        <v>901344.08165189228</v>
      </c>
      <c r="K84" s="151">
        <f ca="1">+K89*Assumptions!$P$90</f>
        <v>921353.34805680101</v>
      </c>
      <c r="L84" s="151">
        <f ca="1">+L89*Assumptions!$P$90</f>
        <v>941962.89245385723</v>
      </c>
      <c r="M84" s="151">
        <f ca="1">+M89*Assumptions!$P$90</f>
        <v>967878.09387925698</v>
      </c>
      <c r="N84" s="151">
        <f ca="1">+N89*Assumptions!$P$90</f>
        <v>989742.75953009375</v>
      </c>
      <c r="O84" s="151">
        <f ca="1">+O89*Assumptions!$P$90</f>
        <v>1012263.3651504557</v>
      </c>
      <c r="P84" s="151">
        <f ca="1">+P89*Assumptions!$P$90</f>
        <v>1040240.707049789</v>
      </c>
      <c r="Q84" s="151">
        <f ca="1">+Q89*Assumptions!$P$90</f>
        <v>1064132.817552431</v>
      </c>
      <c r="R84" s="151">
        <f ca="1">+R89*Assumptions!$P$90</f>
        <v>1088741.6913701522</v>
      </c>
      <c r="S84" s="151">
        <f ca="1">+S89*Assumptions!$P$90</f>
        <v>1118965.5718749729</v>
      </c>
      <c r="T84" s="151">
        <f ca="1">+T89*Assumptions!$P$90</f>
        <v>1145073.1261081933</v>
      </c>
      <c r="U84" s="151">
        <f ca="1">+U89*Assumptions!$P$90</f>
        <v>1171963.9069684104</v>
      </c>
      <c r="V84" s="151">
        <f ca="1">+V89*Assumptions!$P$90</f>
        <v>1204635.6865364534</v>
      </c>
      <c r="W84" s="151">
        <f ca="1">+W89*Assumptions!$P$90</f>
        <v>1233164.1159510575</v>
      </c>
      <c r="X84" s="151">
        <f ca="1">+X89*Assumptions!$P$90</f>
        <v>1262548.3982481</v>
      </c>
      <c r="Y84" s="151">
        <f ca="1">+Y89*Assumptions!$P$90</f>
        <v>1297887.9698017132</v>
      </c>
      <c r="Z84" s="151">
        <f ca="1">+Z89*Assumptions!$P$90</f>
        <v>1329061.7548906456</v>
      </c>
    </row>
    <row r="85" spans="2:26" x14ac:dyDescent="0.35">
      <c r="B85" s="137" t="s">
        <v>256</v>
      </c>
      <c r="C85" s="137"/>
      <c r="D85" s="137"/>
      <c r="E85" s="137"/>
      <c r="F85" s="129">
        <f t="shared" ref="F85:Z85" ca="1" si="29">+SUM(F82:F84)</f>
        <v>0</v>
      </c>
      <c r="G85" s="129">
        <f t="shared" ca="1" si="29"/>
        <v>0</v>
      </c>
      <c r="H85" s="129">
        <f t="shared" ca="1" si="29"/>
        <v>0</v>
      </c>
      <c r="I85" s="129">
        <f t="shared" ca="1" si="29"/>
        <v>810158.57397351321</v>
      </c>
      <c r="J85" s="129">
        <f t="shared" ca="1" si="29"/>
        <v>1644339.0816518923</v>
      </c>
      <c r="K85" s="129">
        <f t="shared" ca="1" si="29"/>
        <v>1664348.3480568011</v>
      </c>
      <c r="L85" s="129">
        <f t="shared" ca="1" si="29"/>
        <v>1722107.6424538572</v>
      </c>
      <c r="M85" s="129">
        <f t="shared" ca="1" si="29"/>
        <v>1748022.8438792569</v>
      </c>
      <c r="N85" s="129">
        <f t="shared" ca="1" si="29"/>
        <v>1769887.5095300938</v>
      </c>
      <c r="O85" s="129">
        <f t="shared" ca="1" si="29"/>
        <v>1792408.1151504559</v>
      </c>
      <c r="P85" s="129">
        <f t="shared" ca="1" si="29"/>
        <v>1820385.4570497889</v>
      </c>
      <c r="Q85" s="129">
        <f t="shared" ca="1" si="29"/>
        <v>1883284.8050524311</v>
      </c>
      <c r="R85" s="129">
        <f t="shared" ca="1" si="29"/>
        <v>1907893.6788701522</v>
      </c>
      <c r="S85" s="129">
        <f t="shared" ca="1" si="29"/>
        <v>1938117.5593749729</v>
      </c>
      <c r="T85" s="129">
        <f t="shared" ca="1" si="29"/>
        <v>1964225.1136081934</v>
      </c>
      <c r="U85" s="129">
        <f t="shared" ca="1" si="29"/>
        <v>1991115.8944684104</v>
      </c>
      <c r="V85" s="129">
        <f t="shared" ca="1" si="29"/>
        <v>2064745.2734114535</v>
      </c>
      <c r="W85" s="129">
        <f t="shared" ca="1" si="29"/>
        <v>2093273.7028260576</v>
      </c>
      <c r="X85" s="129">
        <f t="shared" ca="1" si="29"/>
        <v>2122657.9851230998</v>
      </c>
      <c r="Y85" s="129">
        <f t="shared" ca="1" si="29"/>
        <v>2157997.5566767133</v>
      </c>
      <c r="Z85" s="129">
        <f t="shared" ca="1" si="29"/>
        <v>2189171.3417656459</v>
      </c>
    </row>
    <row r="87" spans="2:26" x14ac:dyDescent="0.35">
      <c r="B87" s="33" t="s">
        <v>395</v>
      </c>
      <c r="F87" s="34">
        <f>+F76*Assumptions!$P$122*'Phase III Pro Forma'!F80</f>
        <v>0</v>
      </c>
      <c r="G87" s="34">
        <f>+G76*Assumptions!$P$122*'Phase III Pro Forma'!G80</f>
        <v>0</v>
      </c>
      <c r="H87" s="34">
        <f>+H76*Assumptions!$P$122*'Phase III Pro Forma'!H80</f>
        <v>0</v>
      </c>
      <c r="I87" s="34">
        <f>+I76*Assumptions!$P$122*'Phase III Pro Forma'!I80</f>
        <v>323774.53729625914</v>
      </c>
      <c r="J87" s="34">
        <f>+J76*Assumptions!$P$122*'Phase III Pro Forma'!J80</f>
        <v>666975.54683029384</v>
      </c>
      <c r="K87" s="34">
        <f>+K76*Assumptions!$P$122*'Phase III Pro Forma'!K80</f>
        <v>686984.81323520257</v>
      </c>
      <c r="L87" s="34">
        <f>+L76*Assumptions!$P$122*'Phase III Pro Forma'!L80</f>
        <v>707594.35763225879</v>
      </c>
      <c r="M87" s="34">
        <f>+M76*Assumptions!$P$122*'Phase III Pro Forma'!M80</f>
        <v>728822.18836122658</v>
      </c>
      <c r="N87" s="34">
        <f>+N76*Assumptions!$P$122*'Phase III Pro Forma'!N80</f>
        <v>750686.85401206336</v>
      </c>
      <c r="O87" s="34">
        <f>+O76*Assumptions!$P$122*'Phase III Pro Forma'!O80</f>
        <v>773207.45963242534</v>
      </c>
      <c r="P87" s="34">
        <f>+P76*Assumptions!$P$122*'Phase III Pro Forma'!P80</f>
        <v>796403.68342139805</v>
      </c>
      <c r="Q87" s="34">
        <f>+Q76*Assumptions!$P$122*'Phase III Pro Forma'!Q80</f>
        <v>820295.79392404004</v>
      </c>
      <c r="R87" s="34">
        <f>+R76*Assumptions!$P$122*'Phase III Pro Forma'!R80</f>
        <v>844904.66774176119</v>
      </c>
      <c r="S87" s="34">
        <f>+S76*Assumptions!$P$122*'Phase III Pro Forma'!S80</f>
        <v>870251.80777401407</v>
      </c>
      <c r="T87" s="34">
        <f>+T76*Assumptions!$P$122*'Phase III Pro Forma'!T80</f>
        <v>896359.36200723459</v>
      </c>
      <c r="U87" s="34">
        <f>+U76*Assumptions!$P$122*'Phase III Pro Forma'!U80</f>
        <v>923250.14286745165</v>
      </c>
      <c r="V87" s="34">
        <f>+V76*Assumptions!$P$122*'Phase III Pro Forma'!V80</f>
        <v>950947.64715347532</v>
      </c>
      <c r="W87" s="34">
        <f>+W76*Assumptions!$P$122*'Phase III Pro Forma'!W80</f>
        <v>979476.07656807953</v>
      </c>
      <c r="X87" s="34">
        <f>+X76*Assumptions!$P$122*'Phase III Pro Forma'!X80</f>
        <v>1008860.358865122</v>
      </c>
      <c r="Y87" s="34">
        <f>+Y76*Assumptions!$P$122*'Phase III Pro Forma'!Y80</f>
        <v>1039126.1696310757</v>
      </c>
      <c r="Z87" s="34">
        <f>+Z76*Assumptions!$P$122*'Phase III Pro Forma'!Z80</f>
        <v>1070299.954720008</v>
      </c>
    </row>
    <row r="88" spans="2:26" x14ac:dyDescent="0.35">
      <c r="B88" s="33" t="s">
        <v>331</v>
      </c>
      <c r="F88" s="151">
        <f ca="1">+IFERROR(INDEX('Taxes and TIF'!$AR$11:$AR$45,MATCH('Phase III Pro Forma'!F$7,'Taxes and TIF'!$AG$11:$AG$45,0)),0)*'Loan Sizing'!$M$18*F77</f>
        <v>0</v>
      </c>
      <c r="G88" s="151">
        <f ca="1">+IFERROR(INDEX('Taxes and TIF'!$AR$11:$AR$45,MATCH('Phase III Pro Forma'!G$7,'Taxes and TIF'!$AG$11:$AG$45,0)),0)*'Loan Sizing'!$M$18*G77</f>
        <v>0</v>
      </c>
      <c r="H88" s="151">
        <f ca="1">+IFERROR(INDEX('Taxes and TIF'!$AR$11:$AR$45,MATCH('Phase III Pro Forma'!H$7,'Taxes and TIF'!$AG$11:$AG$45,0)),0)*'Loan Sizing'!$M$18*H77</f>
        <v>0</v>
      </c>
      <c r="I88" s="151">
        <f ca="1">+IFERROR(INDEX('Taxes and TIF'!$AR$11:$AR$45,MATCH('Phase III Pro Forma'!I$7,'Taxes and TIF'!$AG$11:$AG$45,0)),0)*'Loan Sizing'!$M$18*I77</f>
        <v>114886.53667725403</v>
      </c>
      <c r="J88" s="151">
        <f ca="1">+IFERROR(INDEX('Taxes and TIF'!$AR$11:$AR$45,MATCH('Phase III Pro Forma'!J$7,'Taxes and TIF'!$AG$11:$AG$45,0)),0)*'Loan Sizing'!$M$18*J77</f>
        <v>234368.53482159824</v>
      </c>
      <c r="K88" s="151">
        <f ca="1">+IFERROR(INDEX('Taxes and TIF'!$AR$11:$AR$45,MATCH('Phase III Pro Forma'!K$7,'Taxes and TIF'!$AG$11:$AG$45,0)),0)*'Loan Sizing'!$M$18*K77</f>
        <v>234368.53482159824</v>
      </c>
      <c r="L88" s="151">
        <f ca="1">+IFERROR(INDEX('Taxes and TIF'!$AR$11:$AR$45,MATCH('Phase III Pro Forma'!L$7,'Taxes and TIF'!$AG$11:$AG$45,0)),0)*'Loan Sizing'!$M$18*L77</f>
        <v>234368.53482159824</v>
      </c>
      <c r="M88" s="151">
        <f ca="1">+IFERROR(INDEX('Taxes and TIF'!$AR$11:$AR$45,MATCH('Phase III Pro Forma'!M$7,'Taxes and TIF'!$AG$11:$AG$45,0)),0)*'Loan Sizing'!$M$18*M77</f>
        <v>239055.90551803017</v>
      </c>
      <c r="N88" s="151">
        <f ca="1">+IFERROR(INDEX('Taxes and TIF'!$AR$11:$AR$45,MATCH('Phase III Pro Forma'!N$7,'Taxes and TIF'!$AG$11:$AG$45,0)),0)*'Loan Sizing'!$M$18*N77</f>
        <v>239055.90551803017</v>
      </c>
      <c r="O88" s="151">
        <f ca="1">+IFERROR(INDEX('Taxes and TIF'!$AR$11:$AR$45,MATCH('Phase III Pro Forma'!O$7,'Taxes and TIF'!$AG$11:$AG$45,0)),0)*'Loan Sizing'!$M$18*O77</f>
        <v>239055.90551803017</v>
      </c>
      <c r="P88" s="151">
        <f ca="1">+IFERROR(INDEX('Taxes and TIF'!$AR$11:$AR$45,MATCH('Phase III Pro Forma'!P$7,'Taxes and TIF'!$AG$11:$AG$45,0)),0)*'Loan Sizing'!$M$18*P77</f>
        <v>243837.0236283908</v>
      </c>
      <c r="Q88" s="151">
        <f ca="1">+IFERROR(INDEX('Taxes and TIF'!$AR$11:$AR$45,MATCH('Phase III Pro Forma'!Q$7,'Taxes and TIF'!$AG$11:$AG$45,0)),0)*'Loan Sizing'!$M$18*Q77</f>
        <v>243837.0236283908</v>
      </c>
      <c r="R88" s="151">
        <f ca="1">+IFERROR(INDEX('Taxes and TIF'!$AR$11:$AR$45,MATCH('Phase III Pro Forma'!R$7,'Taxes and TIF'!$AG$11:$AG$45,0)),0)*'Loan Sizing'!$M$18*R77</f>
        <v>243837.0236283908</v>
      </c>
      <c r="S88" s="151">
        <f ca="1">+IFERROR(INDEX('Taxes and TIF'!$AR$11:$AR$45,MATCH('Phase III Pro Forma'!S$7,'Taxes and TIF'!$AG$11:$AG$45,0)),0)*'Loan Sizing'!$M$18*S77</f>
        <v>248713.76410095862</v>
      </c>
      <c r="T88" s="151">
        <f ca="1">+IFERROR(INDEX('Taxes and TIF'!$AR$11:$AR$45,MATCH('Phase III Pro Forma'!T$7,'Taxes and TIF'!$AG$11:$AG$45,0)),0)*'Loan Sizing'!$M$18*T77</f>
        <v>248713.76410095862</v>
      </c>
      <c r="U88" s="151">
        <f ca="1">+IFERROR(INDEX('Taxes and TIF'!$AR$11:$AR$45,MATCH('Phase III Pro Forma'!U$7,'Taxes and TIF'!$AG$11:$AG$45,0)),0)*'Loan Sizing'!$M$18*U77</f>
        <v>248713.76410095862</v>
      </c>
      <c r="V88" s="151">
        <f ca="1">+IFERROR(INDEX('Taxes and TIF'!$AR$11:$AR$45,MATCH('Phase III Pro Forma'!V$7,'Taxes and TIF'!$AG$11:$AG$45,0)),0)*'Loan Sizing'!$M$18*V77</f>
        <v>253688.03938297785</v>
      </c>
      <c r="W88" s="151">
        <f ca="1">+IFERROR(INDEX('Taxes and TIF'!$AR$11:$AR$45,MATCH('Phase III Pro Forma'!W$7,'Taxes and TIF'!$AG$11:$AG$45,0)),0)*'Loan Sizing'!$M$18*W77</f>
        <v>253688.03938297785</v>
      </c>
      <c r="X88" s="151">
        <f ca="1">+IFERROR(INDEX('Taxes and TIF'!$AR$11:$AR$45,MATCH('Phase III Pro Forma'!X$7,'Taxes and TIF'!$AG$11:$AG$45,0)),0)*'Loan Sizing'!$M$18*X77</f>
        <v>253688.03938297785</v>
      </c>
      <c r="Y88" s="151">
        <f ca="1">+IFERROR(INDEX('Taxes and TIF'!$AR$11:$AR$45,MATCH('Phase III Pro Forma'!Y$7,'Taxes and TIF'!$AG$11:$AG$45,0)),0)*'Loan Sizing'!$M$18*Y77</f>
        <v>258761.80017063738</v>
      </c>
      <c r="Z88" s="151">
        <f ca="1">+IFERROR(INDEX('Taxes and TIF'!$AR$11:$AR$45,MATCH('Phase III Pro Forma'!Z$7,'Taxes and TIF'!$AG$11:$AG$45,0)),0)*'Loan Sizing'!$M$18*Z77</f>
        <v>258761.80017063738</v>
      </c>
    </row>
    <row r="89" spans="2:26" x14ac:dyDescent="0.35">
      <c r="B89" s="137" t="s">
        <v>252</v>
      </c>
      <c r="C89" s="137"/>
      <c r="D89" s="137"/>
      <c r="E89" s="137"/>
      <c r="F89" s="129">
        <f ca="1">+SUM(F87:F88)</f>
        <v>0</v>
      </c>
      <c r="G89" s="129">
        <f t="shared" ref="G89" ca="1" si="30">+SUM(G87:G88)</f>
        <v>0</v>
      </c>
      <c r="H89" s="129">
        <f t="shared" ref="H89:Z89" ca="1" si="31">+SUM(H87:H88)</f>
        <v>0</v>
      </c>
      <c r="I89" s="129">
        <f t="shared" ca="1" si="31"/>
        <v>438661.07397351315</v>
      </c>
      <c r="J89" s="129">
        <f t="shared" ca="1" si="31"/>
        <v>901344.08165189205</v>
      </c>
      <c r="K89" s="129">
        <f t="shared" ca="1" si="31"/>
        <v>921353.34805680078</v>
      </c>
      <c r="L89" s="129">
        <f t="shared" ca="1" si="31"/>
        <v>941962.892453857</v>
      </c>
      <c r="M89" s="129">
        <f t="shared" ca="1" si="31"/>
        <v>967878.09387925675</v>
      </c>
      <c r="N89" s="129">
        <f t="shared" ca="1" si="31"/>
        <v>989742.75953009352</v>
      </c>
      <c r="O89" s="129">
        <f t="shared" ca="1" si="31"/>
        <v>1012263.3651504555</v>
      </c>
      <c r="P89" s="129">
        <f t="shared" ca="1" si="31"/>
        <v>1040240.7070497889</v>
      </c>
      <c r="Q89" s="129">
        <f t="shared" ca="1" si="31"/>
        <v>1064132.8175524308</v>
      </c>
      <c r="R89" s="129">
        <f t="shared" ca="1" si="31"/>
        <v>1088741.6913701519</v>
      </c>
      <c r="S89" s="129">
        <f t="shared" ca="1" si="31"/>
        <v>1118965.5718749727</v>
      </c>
      <c r="T89" s="129">
        <f t="shared" ca="1" si="31"/>
        <v>1145073.1261081933</v>
      </c>
      <c r="U89" s="129">
        <f t="shared" ca="1" si="31"/>
        <v>1171963.9069684104</v>
      </c>
      <c r="V89" s="129">
        <f t="shared" ca="1" si="31"/>
        <v>1204635.6865364532</v>
      </c>
      <c r="W89" s="129">
        <f t="shared" ca="1" si="31"/>
        <v>1233164.1159510573</v>
      </c>
      <c r="X89" s="129">
        <f t="shared" ca="1" si="31"/>
        <v>1262548.3982480997</v>
      </c>
      <c r="Y89" s="129">
        <f t="shared" ca="1" si="31"/>
        <v>1297887.969801713</v>
      </c>
      <c r="Z89" s="129">
        <f t="shared" ca="1" si="31"/>
        <v>1329061.7548906454</v>
      </c>
    </row>
    <row r="90" spans="2:26" x14ac:dyDescent="0.35">
      <c r="B90" s="33"/>
    </row>
    <row r="91" spans="2:26" x14ac:dyDescent="0.35">
      <c r="B91" s="138" t="s">
        <v>251</v>
      </c>
      <c r="C91" s="138"/>
      <c r="D91" s="138"/>
      <c r="E91" s="138"/>
      <c r="F91" s="139">
        <f ca="1">+F85-F89</f>
        <v>0</v>
      </c>
      <c r="G91" s="139">
        <f t="shared" ref="G91:Z91" ca="1" si="32">+G85-G89</f>
        <v>0</v>
      </c>
      <c r="H91" s="139">
        <f t="shared" ca="1" si="32"/>
        <v>0</v>
      </c>
      <c r="I91" s="139">
        <f t="shared" ca="1" si="32"/>
        <v>371497.50000000006</v>
      </c>
      <c r="J91" s="139">
        <f t="shared" ca="1" si="32"/>
        <v>742995.00000000023</v>
      </c>
      <c r="K91" s="139">
        <f t="shared" ca="1" si="32"/>
        <v>742995.00000000035</v>
      </c>
      <c r="L91" s="139">
        <f t="shared" ca="1" si="32"/>
        <v>780144.75000000023</v>
      </c>
      <c r="M91" s="139">
        <f t="shared" ca="1" si="32"/>
        <v>780144.75000000012</v>
      </c>
      <c r="N91" s="139">
        <f t="shared" ca="1" si="32"/>
        <v>780144.75000000023</v>
      </c>
      <c r="O91" s="139">
        <f t="shared" ca="1" si="32"/>
        <v>780144.75000000035</v>
      </c>
      <c r="P91" s="139">
        <f t="shared" ca="1" si="32"/>
        <v>780144.75</v>
      </c>
      <c r="Q91" s="139">
        <f t="shared" ca="1" si="32"/>
        <v>819151.98750000028</v>
      </c>
      <c r="R91" s="139">
        <f t="shared" ca="1" si="32"/>
        <v>819151.98750000028</v>
      </c>
      <c r="S91" s="139">
        <f t="shared" ca="1" si="32"/>
        <v>819151.98750000028</v>
      </c>
      <c r="T91" s="139">
        <f t="shared" ca="1" si="32"/>
        <v>819151.98750000005</v>
      </c>
      <c r="U91" s="139">
        <f t="shared" ca="1" si="32"/>
        <v>819151.98750000005</v>
      </c>
      <c r="V91" s="139">
        <f t="shared" ca="1" si="32"/>
        <v>860109.58687500027</v>
      </c>
      <c r="W91" s="139">
        <f t="shared" ca="1" si="32"/>
        <v>860109.58687500027</v>
      </c>
      <c r="X91" s="139">
        <f t="shared" ca="1" si="32"/>
        <v>860109.58687500004</v>
      </c>
      <c r="Y91" s="139">
        <f t="shared" ca="1" si="32"/>
        <v>860109.58687500027</v>
      </c>
      <c r="Z91" s="139">
        <f t="shared" ca="1" si="32"/>
        <v>860109.5868750005</v>
      </c>
    </row>
    <row r="92" spans="2:26" x14ac:dyDescent="0.35">
      <c r="B92" s="143" t="s">
        <v>257</v>
      </c>
      <c r="C92" s="141"/>
      <c r="D92" s="141"/>
      <c r="E92" s="141"/>
      <c r="F92" s="144" t="str">
        <f ca="1">+IFERROR(F91/F85,"")</f>
        <v/>
      </c>
      <c r="G92" s="144" t="str">
        <f t="shared" ref="G92:Z92" ca="1" si="33">+IFERROR(G91/G85,"")</f>
        <v/>
      </c>
      <c r="H92" s="144" t="str">
        <f t="shared" ca="1" si="33"/>
        <v/>
      </c>
      <c r="I92" s="145">
        <f t="shared" ca="1" si="33"/>
        <v>0.45854911857310732</v>
      </c>
      <c r="J92" s="145">
        <f t="shared" ca="1" si="33"/>
        <v>0.45185023471776414</v>
      </c>
      <c r="K92" s="145">
        <f t="shared" ca="1" si="33"/>
        <v>0.44641796344345774</v>
      </c>
      <c r="L92" s="145">
        <f t="shared" ca="1" si="33"/>
        <v>0.45301741352727531</v>
      </c>
      <c r="M92" s="145">
        <f t="shared" ca="1" si="33"/>
        <v>0.44630123269366606</v>
      </c>
      <c r="N92" s="145">
        <f t="shared" ca="1" si="33"/>
        <v>0.44078775956056615</v>
      </c>
      <c r="O92" s="145">
        <f t="shared" ca="1" si="33"/>
        <v>0.43524950785804412</v>
      </c>
      <c r="P92" s="145">
        <f t="shared" ca="1" si="33"/>
        <v>0.42856019695100345</v>
      </c>
      <c r="Q92" s="145">
        <f t="shared" ca="1" si="33"/>
        <v>0.43495916565694104</v>
      </c>
      <c r="R92" s="145">
        <f t="shared" ca="1" si="33"/>
        <v>0.42934886601495487</v>
      </c>
      <c r="S92" s="145">
        <f t="shared" ca="1" si="33"/>
        <v>0.42265340589771555</v>
      </c>
      <c r="T92" s="145">
        <f t="shared" ca="1" si="33"/>
        <v>0.41703569607419111</v>
      </c>
      <c r="U92" s="145">
        <f t="shared" ca="1" si="33"/>
        <v>0.41140346967030661</v>
      </c>
      <c r="V92" s="145">
        <f t="shared" ca="1" si="33"/>
        <v>0.4165693453574994</v>
      </c>
      <c r="W92" s="145">
        <f t="shared" ca="1" si="33"/>
        <v>0.41089208053098625</v>
      </c>
      <c r="X92" s="145">
        <f t="shared" ca="1" si="33"/>
        <v>0.40520403800479404</v>
      </c>
      <c r="Y92" s="145">
        <f t="shared" ca="1" si="33"/>
        <v>0.39856837845523663</v>
      </c>
      <c r="Z92" s="145">
        <f t="shared" ca="1" si="33"/>
        <v>0.39289276744381779</v>
      </c>
    </row>
    <row r="93" spans="2:26" x14ac:dyDescent="0.35">
      <c r="B93" s="143" t="s">
        <v>191</v>
      </c>
      <c r="C93" s="141"/>
      <c r="D93" s="141"/>
      <c r="E93" s="141"/>
      <c r="F93" s="142">
        <f ca="1">+F91/Assumptions!$P$132</f>
        <v>0</v>
      </c>
      <c r="G93" s="142">
        <f ca="1">+G91/Assumptions!$P$132</f>
        <v>0</v>
      </c>
      <c r="H93" s="142">
        <f ca="1">+H91/Assumptions!$P$132</f>
        <v>0</v>
      </c>
      <c r="I93" s="142">
        <f ca="1">+I91/Assumptions!$P$132</f>
        <v>5503666.666666667</v>
      </c>
      <c r="J93" s="142">
        <f ca="1">+J91/Assumptions!$P$132</f>
        <v>11007333.333333336</v>
      </c>
      <c r="K93" s="142">
        <f ca="1">+K91/Assumptions!$P$132</f>
        <v>11007333.333333338</v>
      </c>
      <c r="L93" s="142">
        <f ca="1">+L91/Assumptions!$P$132</f>
        <v>11557700.000000002</v>
      </c>
      <c r="M93" s="142">
        <f ca="1">+M91/Assumptions!$P$132</f>
        <v>11557700.000000002</v>
      </c>
      <c r="N93" s="142">
        <f ca="1">+N91/Assumptions!$P$132</f>
        <v>11557700.000000002</v>
      </c>
      <c r="O93" s="142">
        <f ca="1">+O91/Assumptions!$P$132</f>
        <v>11557700.000000004</v>
      </c>
      <c r="P93" s="142">
        <f ca="1">+P91/Assumptions!$P$132</f>
        <v>11557700</v>
      </c>
      <c r="Q93" s="142">
        <f ca="1">+Q91/Assumptions!$P$132</f>
        <v>12135585.000000004</v>
      </c>
      <c r="R93" s="142">
        <f ca="1">+R91/Assumptions!$P$132</f>
        <v>12135585.000000004</v>
      </c>
      <c r="S93" s="142">
        <f ca="1">+S91/Assumptions!$P$132</f>
        <v>12135585.000000004</v>
      </c>
      <c r="T93" s="142">
        <f ca="1">+T91/Assumptions!$P$132</f>
        <v>12135585</v>
      </c>
      <c r="U93" s="142">
        <f ca="1">+U91/Assumptions!$P$132</f>
        <v>12135585</v>
      </c>
      <c r="V93" s="142">
        <f ca="1">+V91/Assumptions!$P$132</f>
        <v>12742364.250000004</v>
      </c>
      <c r="W93" s="142">
        <f ca="1">+W91/Assumptions!$P$132</f>
        <v>12742364.250000004</v>
      </c>
      <c r="X93" s="142">
        <f ca="1">+X91/Assumptions!$P$132</f>
        <v>12742364.25</v>
      </c>
      <c r="Y93" s="142">
        <f ca="1">+Y91/Assumptions!$P$132</f>
        <v>12742364.250000004</v>
      </c>
      <c r="Z93" s="142">
        <f ca="1">+Z91/Assumptions!$P$132</f>
        <v>12742364.250000007</v>
      </c>
    </row>
    <row r="95" spans="2:26" x14ac:dyDescent="0.35">
      <c r="B95" s="148" t="s">
        <v>148</v>
      </c>
      <c r="C95" s="149"/>
      <c r="D95" s="149"/>
      <c r="E95" s="149"/>
      <c r="F95" s="150">
        <f>+Assumptions!$H$22</f>
        <v>45657</v>
      </c>
      <c r="G95" s="150">
        <f>+EOMONTH(F95,12)</f>
        <v>46022</v>
      </c>
      <c r="H95" s="150">
        <f t="shared" ref="H95:Z95" si="34">+EOMONTH(G95,12)</f>
        <v>46387</v>
      </c>
      <c r="I95" s="150">
        <f t="shared" si="34"/>
        <v>46752</v>
      </c>
      <c r="J95" s="150">
        <f t="shared" si="34"/>
        <v>47118</v>
      </c>
      <c r="K95" s="150">
        <f t="shared" si="34"/>
        <v>47483</v>
      </c>
      <c r="L95" s="150">
        <f t="shared" si="34"/>
        <v>47848</v>
      </c>
      <c r="M95" s="150">
        <f t="shared" si="34"/>
        <v>48213</v>
      </c>
      <c r="N95" s="150">
        <f t="shared" si="34"/>
        <v>48579</v>
      </c>
      <c r="O95" s="150">
        <f t="shared" si="34"/>
        <v>48944</v>
      </c>
      <c r="P95" s="150">
        <f t="shared" si="34"/>
        <v>49309</v>
      </c>
      <c r="Q95" s="150">
        <f t="shared" si="34"/>
        <v>49674</v>
      </c>
      <c r="R95" s="150">
        <f t="shared" si="34"/>
        <v>50040</v>
      </c>
      <c r="S95" s="150">
        <f t="shared" si="34"/>
        <v>50405</v>
      </c>
      <c r="T95" s="150">
        <f t="shared" si="34"/>
        <v>50770</v>
      </c>
      <c r="U95" s="150">
        <f t="shared" si="34"/>
        <v>51135</v>
      </c>
      <c r="V95" s="150">
        <f t="shared" si="34"/>
        <v>51501</v>
      </c>
      <c r="W95" s="150">
        <f t="shared" si="34"/>
        <v>51866</v>
      </c>
      <c r="X95" s="150">
        <f t="shared" si="34"/>
        <v>52231</v>
      </c>
      <c r="Y95" s="150">
        <f t="shared" si="34"/>
        <v>52596</v>
      </c>
      <c r="Z95" s="150">
        <f t="shared" si="34"/>
        <v>52962</v>
      </c>
    </row>
    <row r="96" spans="2:26" x14ac:dyDescent="0.35">
      <c r="B96" s="33" t="s">
        <v>766</v>
      </c>
      <c r="C96" s="33"/>
      <c r="D96" s="40"/>
      <c r="E96" s="40"/>
      <c r="F96" s="42">
        <f>+IF(AND(F95&gt;=Assumptions!$H$26,F95&lt;Assumptions!$H$28),Assumptions!$H$172/ROUNDUP((Assumptions!$H$27/12),0),0)</f>
        <v>0</v>
      </c>
      <c r="G96" s="42">
        <f>+IF(AND(G95&gt;=Assumptions!$H$26,G95&lt;Assumptions!$H$28),Assumptions!$H$172/ROUNDUP((Assumptions!$H$27/12),0),0)</f>
        <v>0</v>
      </c>
      <c r="H96" s="42">
        <f>+IF(AND(H95&gt;=Assumptions!$H$26,H95&lt;Assumptions!$H$28),Assumptions!$H$172/ROUNDUP((Assumptions!$H$27/12),0),0)</f>
        <v>0</v>
      </c>
      <c r="I96" s="42">
        <f>+IF(AND(I95&gt;=Assumptions!$H$26,I95&lt;Assumptions!$H$28),Assumptions!$H$172/ROUNDUP((Assumptions!$H$27/12),0),0)</f>
        <v>294484.54999999993</v>
      </c>
      <c r="J96" s="42">
        <f>+IF(AND(J95&gt;=Assumptions!$H$26,J95&lt;Assumptions!$H$28),Assumptions!$H$172/ROUNDUP((Assumptions!$H$27/12),0),0)</f>
        <v>294484.54999999993</v>
      </c>
      <c r="K96" s="42">
        <f>+IF(AND(K95&gt;=Assumptions!$H$26,K95&lt;Assumptions!$H$28),Assumptions!$H$172/ROUNDUP((Assumptions!$H$27/12),0),0)</f>
        <v>0</v>
      </c>
      <c r="L96" s="42">
        <f>+IF(AND(L95&gt;=Assumptions!$H$26,L95&lt;Assumptions!$H$28),Assumptions!$H$172/ROUNDUP((Assumptions!$H$27/12),0),0)</f>
        <v>0</v>
      </c>
      <c r="M96" s="42">
        <f>+IF(AND(M95&gt;=Assumptions!$H$26,M95&lt;Assumptions!$H$28),Assumptions!$H$172/ROUNDUP((Assumptions!$H$27/12),0),0)</f>
        <v>0</v>
      </c>
      <c r="N96" s="42">
        <f>+IF(AND(N95&gt;=Assumptions!$H$26,N95&lt;Assumptions!$H$28),Assumptions!$H$172/ROUNDUP((Assumptions!$H$27/12),0),0)</f>
        <v>0</v>
      </c>
      <c r="O96" s="42">
        <f>+IF(AND(O95&gt;=Assumptions!$H$26,O95&lt;Assumptions!$H$28),Assumptions!$H$172/ROUNDUP((Assumptions!$H$27/12),0),0)</f>
        <v>0</v>
      </c>
      <c r="P96" s="42">
        <f>+IF(AND(P95&gt;=Assumptions!$H$26,P95&lt;Assumptions!$H$28),Assumptions!$H$172/ROUNDUP((Assumptions!$H$27/12),0),0)</f>
        <v>0</v>
      </c>
      <c r="Q96" s="42">
        <f>+IF(AND(Q95&gt;=Assumptions!$H$26,Q95&lt;Assumptions!$H$28),Assumptions!$H$172/ROUNDUP((Assumptions!$H$27/12),0),0)</f>
        <v>0</v>
      </c>
      <c r="R96" s="42">
        <f>+IF(AND(R95&gt;=Assumptions!$H$26,R95&lt;Assumptions!$H$28),Assumptions!$H$172/ROUNDUP((Assumptions!$H$27/12),0),0)</f>
        <v>0</v>
      </c>
      <c r="S96" s="42">
        <f>+IF(AND(S95&gt;=Assumptions!$H$26,S95&lt;Assumptions!$H$28),Assumptions!$H$172/ROUNDUP((Assumptions!$H$27/12),0),0)</f>
        <v>0</v>
      </c>
      <c r="T96" s="42">
        <f>+IF(AND(T95&gt;=Assumptions!$H$26,T95&lt;Assumptions!$H$28),Assumptions!$H$172/ROUNDUP((Assumptions!$H$27/12),0),0)</f>
        <v>0</v>
      </c>
      <c r="U96" s="42">
        <f>+IF(AND(U95&gt;=Assumptions!$H$26,U95&lt;Assumptions!$H$28),Assumptions!$H$172/ROUNDUP((Assumptions!$H$27/12),0),0)</f>
        <v>0</v>
      </c>
      <c r="V96" s="42">
        <f>+IF(AND(V95&gt;=Assumptions!$H$26,V95&lt;Assumptions!$H$28),Assumptions!$H$172/ROUNDUP((Assumptions!$H$27/12),0),0)</f>
        <v>0</v>
      </c>
      <c r="W96" s="42">
        <f>+IF(AND(W95&gt;=Assumptions!$H$26,W95&lt;Assumptions!$H$28),Assumptions!$H$172/ROUNDUP((Assumptions!$H$27/12),0),0)</f>
        <v>0</v>
      </c>
      <c r="X96" s="42">
        <f>+IF(AND(X95&gt;=Assumptions!$H$26,X95&lt;Assumptions!$H$28),Assumptions!$H$172/ROUNDUP((Assumptions!$H$27/12),0),0)</f>
        <v>0</v>
      </c>
      <c r="Y96" s="42">
        <f>+IF(AND(Y95&gt;=Assumptions!$H$26,Y95&lt;Assumptions!$H$28),Assumptions!$H$172/ROUNDUP((Assumptions!$H$27/12),0),0)</f>
        <v>0</v>
      </c>
      <c r="Z96" s="42">
        <f>+IF(AND(Z95&gt;=Assumptions!$H$26,Z95&lt;Assumptions!$H$28),Assumptions!$H$172/ROUNDUP((Assumptions!$H$27/12),0),0)</f>
        <v>0</v>
      </c>
    </row>
    <row r="97" spans="2:26" x14ac:dyDescent="0.35">
      <c r="B97" s="33" t="s">
        <v>249</v>
      </c>
      <c r="C97" s="33"/>
      <c r="D97" s="42">
        <v>0</v>
      </c>
      <c r="E97" s="42"/>
      <c r="F97" s="42">
        <f>+D97+F96</f>
        <v>0</v>
      </c>
      <c r="G97" s="42">
        <f t="shared" ref="G97:Z97" si="35">+F97+G96</f>
        <v>0</v>
      </c>
      <c r="H97" s="42">
        <f t="shared" si="35"/>
        <v>0</v>
      </c>
      <c r="I97" s="42">
        <f t="shared" si="35"/>
        <v>294484.54999999993</v>
      </c>
      <c r="J97" s="42">
        <f t="shared" si="35"/>
        <v>588969.09999999986</v>
      </c>
      <c r="K97" s="42">
        <f t="shared" si="35"/>
        <v>588969.09999999986</v>
      </c>
      <c r="L97" s="42">
        <f t="shared" si="35"/>
        <v>588969.09999999986</v>
      </c>
      <c r="M97" s="42">
        <f t="shared" si="35"/>
        <v>588969.09999999986</v>
      </c>
      <c r="N97" s="42">
        <f t="shared" si="35"/>
        <v>588969.09999999986</v>
      </c>
      <c r="O97" s="42">
        <f t="shared" si="35"/>
        <v>588969.09999999986</v>
      </c>
      <c r="P97" s="42">
        <f t="shared" si="35"/>
        <v>588969.09999999986</v>
      </c>
      <c r="Q97" s="42">
        <f t="shared" si="35"/>
        <v>588969.09999999986</v>
      </c>
      <c r="R97" s="42">
        <f t="shared" si="35"/>
        <v>588969.09999999986</v>
      </c>
      <c r="S97" s="42">
        <f t="shared" si="35"/>
        <v>588969.09999999986</v>
      </c>
      <c r="T97" s="42">
        <f t="shared" si="35"/>
        <v>588969.09999999986</v>
      </c>
      <c r="U97" s="42">
        <f t="shared" si="35"/>
        <v>588969.09999999986</v>
      </c>
      <c r="V97" s="42">
        <f t="shared" si="35"/>
        <v>588969.09999999986</v>
      </c>
      <c r="W97" s="42">
        <f t="shared" si="35"/>
        <v>588969.09999999986</v>
      </c>
      <c r="X97" s="42">
        <f t="shared" si="35"/>
        <v>588969.09999999986</v>
      </c>
      <c r="Y97" s="42">
        <f t="shared" si="35"/>
        <v>588969.09999999986</v>
      </c>
      <c r="Z97" s="42">
        <f t="shared" si="35"/>
        <v>588969.09999999986</v>
      </c>
    </row>
    <row r="98" spans="2:26" x14ac:dyDescent="0.35">
      <c r="B98" s="33" t="s">
        <v>306</v>
      </c>
      <c r="C98" s="33"/>
      <c r="D98" s="42"/>
      <c r="E98" s="42"/>
      <c r="F98" s="108">
        <f t="shared" ref="F98:Z98" si="36">+F97/SUM($F96:$Z96)</f>
        <v>0</v>
      </c>
      <c r="G98" s="108">
        <f t="shared" si="36"/>
        <v>0</v>
      </c>
      <c r="H98" s="108">
        <f t="shared" si="36"/>
        <v>0</v>
      </c>
      <c r="I98" s="108">
        <f t="shared" si="36"/>
        <v>0.5</v>
      </c>
      <c r="J98" s="108">
        <f t="shared" si="36"/>
        <v>1</v>
      </c>
      <c r="K98" s="108">
        <f t="shared" si="36"/>
        <v>1</v>
      </c>
      <c r="L98" s="108">
        <f t="shared" si="36"/>
        <v>1</v>
      </c>
      <c r="M98" s="108">
        <f t="shared" si="36"/>
        <v>1</v>
      </c>
      <c r="N98" s="108">
        <f t="shared" si="36"/>
        <v>1</v>
      </c>
      <c r="O98" s="108">
        <f t="shared" si="36"/>
        <v>1</v>
      </c>
      <c r="P98" s="108">
        <f t="shared" si="36"/>
        <v>1</v>
      </c>
      <c r="Q98" s="108">
        <f t="shared" si="36"/>
        <v>1</v>
      </c>
      <c r="R98" s="108">
        <f t="shared" si="36"/>
        <v>1</v>
      </c>
      <c r="S98" s="108">
        <f t="shared" si="36"/>
        <v>1</v>
      </c>
      <c r="T98" s="108">
        <f t="shared" si="36"/>
        <v>1</v>
      </c>
      <c r="U98" s="108">
        <f t="shared" si="36"/>
        <v>1</v>
      </c>
      <c r="V98" s="108">
        <f t="shared" si="36"/>
        <v>1</v>
      </c>
      <c r="W98" s="108">
        <f t="shared" si="36"/>
        <v>1</v>
      </c>
      <c r="X98" s="108">
        <f t="shared" si="36"/>
        <v>1</v>
      </c>
      <c r="Y98" s="108">
        <f t="shared" si="36"/>
        <v>1</v>
      </c>
      <c r="Z98" s="108">
        <f t="shared" si="36"/>
        <v>1</v>
      </c>
    </row>
    <row r="99" spans="2:26" x14ac:dyDescent="0.35">
      <c r="B99" s="33"/>
      <c r="C99" s="33"/>
      <c r="D99" s="40"/>
      <c r="E99" s="40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2:26" x14ac:dyDescent="0.35">
      <c r="B100" s="33" t="s">
        <v>254</v>
      </c>
      <c r="C100" s="33"/>
      <c r="D100" s="42"/>
      <c r="E100" s="42"/>
      <c r="F100" s="108">
        <v>1</v>
      </c>
      <c r="G100" s="108">
        <f>+IF(MOD(G$2,Assumptions!$P$71)=(Assumptions!$P$71-1),F100*(1+Assumptions!$P$70),'Phase III Pro Forma'!F100)</f>
        <v>1</v>
      </c>
      <c r="H100" s="108">
        <f>+IF(MOD(H$2,Assumptions!$P$71)=(Assumptions!$P$71-1),G100*(1+Assumptions!$P$70),'Phase III Pro Forma'!G100)</f>
        <v>1</v>
      </c>
      <c r="I100" s="108">
        <f>+IF(MOD(I$2,Assumptions!$P$71)=(Assumptions!$P$71-1),H100*(1+Assumptions!$P$70),'Phase III Pro Forma'!H100)</f>
        <v>1</v>
      </c>
      <c r="J100" s="108">
        <f>+IF(MOD(J$2,Assumptions!$P$71)=(Assumptions!$P$71-1),I100*(1+Assumptions!$P$70),'Phase III Pro Forma'!I100)</f>
        <v>1</v>
      </c>
      <c r="K100" s="108">
        <f>+IF(MOD(K$2,Assumptions!$P$71)=(Assumptions!$P$71-1),J100*(1+Assumptions!$P$70),'Phase III Pro Forma'!J100)</f>
        <v>1</v>
      </c>
      <c r="L100" s="108">
        <f>+IF(MOD(L$2,Assumptions!$P$71)=(Assumptions!$P$71-1),K100*(1+Assumptions!$P$70),'Phase III Pro Forma'!K100)</f>
        <v>1.1000000000000001</v>
      </c>
      <c r="M100" s="108">
        <f>+IF(MOD(M$2,Assumptions!$P$71)=(Assumptions!$P$71-1),L100*(1+Assumptions!$P$70),'Phase III Pro Forma'!L100)</f>
        <v>1.1000000000000001</v>
      </c>
      <c r="N100" s="108">
        <f>+IF(MOD(N$2,Assumptions!$P$71)=(Assumptions!$P$71-1),M100*(1+Assumptions!$P$70),'Phase III Pro Forma'!M100)</f>
        <v>1.1000000000000001</v>
      </c>
      <c r="O100" s="108">
        <f>+IF(MOD(O$2,Assumptions!$P$71)=(Assumptions!$P$71-1),N100*(1+Assumptions!$P$70),'Phase III Pro Forma'!N100)</f>
        <v>1.1000000000000001</v>
      </c>
      <c r="P100" s="108">
        <f>+IF(MOD(P$2,Assumptions!$P$71)=(Assumptions!$P$71-1),O100*(1+Assumptions!$P$70),'Phase III Pro Forma'!O100)</f>
        <v>1.1000000000000001</v>
      </c>
      <c r="Q100" s="108">
        <f>+IF(MOD(Q$2,Assumptions!$P$71)=(Assumptions!$P$71-1),P100*(1+Assumptions!$P$70),'Phase III Pro Forma'!P100)</f>
        <v>1.2100000000000002</v>
      </c>
      <c r="R100" s="108">
        <f>+IF(MOD(R$2,Assumptions!$P$71)=(Assumptions!$P$71-1),Q100*(1+Assumptions!$P$70),'Phase III Pro Forma'!Q100)</f>
        <v>1.2100000000000002</v>
      </c>
      <c r="S100" s="108">
        <f>+IF(MOD(S$2,Assumptions!$P$71)=(Assumptions!$P$71-1),R100*(1+Assumptions!$P$70),'Phase III Pro Forma'!R100)</f>
        <v>1.2100000000000002</v>
      </c>
      <c r="T100" s="108">
        <f>+IF(MOD(T$2,Assumptions!$P$71)=(Assumptions!$P$71-1),S100*(1+Assumptions!$P$70),'Phase III Pro Forma'!S100)</f>
        <v>1.2100000000000002</v>
      </c>
      <c r="U100" s="108">
        <f>+IF(MOD(U$2,Assumptions!$P$71)=(Assumptions!$P$71-1),T100*(1+Assumptions!$P$70),'Phase III Pro Forma'!T100)</f>
        <v>1.2100000000000002</v>
      </c>
      <c r="V100" s="108">
        <f>+IF(MOD(V$2,Assumptions!$P$71)=(Assumptions!$P$71-1),U100*(1+Assumptions!$P$70),'Phase III Pro Forma'!U100)</f>
        <v>1.3310000000000004</v>
      </c>
      <c r="W100" s="108">
        <f>+IF(MOD(W$2,Assumptions!$P$71)=(Assumptions!$P$71-1),V100*(1+Assumptions!$P$70),'Phase III Pro Forma'!V100)</f>
        <v>1.3310000000000004</v>
      </c>
      <c r="X100" s="108">
        <f>+IF(MOD(X$2,Assumptions!$P$71)=(Assumptions!$P$71-1),W100*(1+Assumptions!$P$70),'Phase III Pro Forma'!W100)</f>
        <v>1.3310000000000004</v>
      </c>
      <c r="Y100" s="108">
        <f>+IF(MOD(Y$2,Assumptions!$P$71)=(Assumptions!$P$71-1),X100*(1+Assumptions!$P$70),'Phase III Pro Forma'!X100)</f>
        <v>1.3310000000000004</v>
      </c>
      <c r="Z100" s="108">
        <f>+IF(MOD(Z$2,Assumptions!$P$71)=(Assumptions!$P$71-1),Y100*(1+Assumptions!$P$70),'Phase III Pro Forma'!Y100)</f>
        <v>1.3310000000000004</v>
      </c>
    </row>
    <row r="101" spans="2:26" x14ac:dyDescent="0.35">
      <c r="B101" s="33" t="s">
        <v>255</v>
      </c>
      <c r="C101" s="33"/>
      <c r="D101" s="42"/>
      <c r="E101" s="42"/>
      <c r="F101" s="108">
        <v>1</v>
      </c>
      <c r="G101" s="108">
        <f>+F101*(1+Assumptions!$P$80)</f>
        <v>1.03</v>
      </c>
      <c r="H101" s="108">
        <f>+G101*(1+Assumptions!$P$80)</f>
        <v>1.0609</v>
      </c>
      <c r="I101" s="108">
        <f>+H101*(1+Assumptions!$P$80)</f>
        <v>1.092727</v>
      </c>
      <c r="J101" s="108">
        <f>+I101*(1+Assumptions!$P$80)</f>
        <v>1.1255088100000001</v>
      </c>
      <c r="K101" s="108">
        <f>+J101*(1+Assumptions!$P$80)</f>
        <v>1.1592740743000001</v>
      </c>
      <c r="L101" s="108">
        <f>+K101*(1+Assumptions!$P$80)</f>
        <v>1.1940522965290001</v>
      </c>
      <c r="M101" s="108">
        <f>+L101*(1+Assumptions!$P$80)</f>
        <v>1.2298738654248702</v>
      </c>
      <c r="N101" s="108">
        <f>+M101*(1+Assumptions!$P$80)</f>
        <v>1.2667700813876164</v>
      </c>
      <c r="O101" s="108">
        <f>+N101*(1+Assumptions!$P$80)</f>
        <v>1.3047731838292449</v>
      </c>
      <c r="P101" s="108">
        <f>+O101*(1+Assumptions!$P$80)</f>
        <v>1.3439163793441222</v>
      </c>
      <c r="Q101" s="108">
        <f>+P101*(1+Assumptions!$P$80)</f>
        <v>1.3842338707244459</v>
      </c>
      <c r="R101" s="108">
        <f>+Q101*(1+Assumptions!$P$80)</f>
        <v>1.4257608868461793</v>
      </c>
      <c r="S101" s="108">
        <f>+R101*(1+Assumptions!$P$80)</f>
        <v>1.4685337134515648</v>
      </c>
      <c r="T101" s="108">
        <f>+S101*(1+Assumptions!$P$80)</f>
        <v>1.5125897248551119</v>
      </c>
      <c r="U101" s="108">
        <f>+T101*(1+Assumptions!$P$80)</f>
        <v>1.5579674166007653</v>
      </c>
      <c r="V101" s="108">
        <f>+U101*(1+Assumptions!$P$80)</f>
        <v>1.6047064390987884</v>
      </c>
      <c r="W101" s="108">
        <f>+V101*(1+Assumptions!$P$80)</f>
        <v>1.652847632271752</v>
      </c>
      <c r="X101" s="108">
        <f>+W101*(1+Assumptions!$P$80)</f>
        <v>1.7024330612399046</v>
      </c>
      <c r="Y101" s="108">
        <f>+X101*(1+Assumptions!$P$80)</f>
        <v>1.7535060530771018</v>
      </c>
      <c r="Z101" s="108">
        <f>+Y101*(1+Assumptions!$P$80)</f>
        <v>1.806111234669415</v>
      </c>
    </row>
    <row r="102" spans="2:26" x14ac:dyDescent="0.35">
      <c r="B102" s="33"/>
      <c r="C102" s="33"/>
      <c r="D102" s="40"/>
      <c r="E102" s="40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2:26" x14ac:dyDescent="0.35">
      <c r="B103" s="33" t="s">
        <v>246</v>
      </c>
      <c r="C103" s="33"/>
      <c r="D103" s="40"/>
      <c r="E103" s="40"/>
      <c r="F103" s="34">
        <f>+F98*Assumptions!$H$171*F100</f>
        <v>0</v>
      </c>
      <c r="G103" s="34">
        <f>+G98*Assumptions!$H$171*G100</f>
        <v>0</v>
      </c>
      <c r="H103" s="34">
        <f>+H98*Assumptions!$H$171*H100</f>
        <v>0</v>
      </c>
      <c r="I103" s="34">
        <f>+I98*Assumptions!$H$171*I100</f>
        <v>7650229.1410350706</v>
      </c>
      <c r="J103" s="34">
        <f>+J98*Assumptions!$H$171*J100</f>
        <v>15300458.282070141</v>
      </c>
      <c r="K103" s="34">
        <f>+K98*Assumptions!$H$171*K100</f>
        <v>15300458.282070141</v>
      </c>
      <c r="L103" s="34">
        <f>+L98*Assumptions!$H$171*L100</f>
        <v>16830504.110277157</v>
      </c>
      <c r="M103" s="34">
        <f>+M98*Assumptions!$H$171*M100</f>
        <v>16830504.110277157</v>
      </c>
      <c r="N103" s="34">
        <f>+N98*Assumptions!$H$171*N100</f>
        <v>16830504.110277157</v>
      </c>
      <c r="O103" s="34">
        <f>+O98*Assumptions!$H$171*O100</f>
        <v>16830504.110277157</v>
      </c>
      <c r="P103" s="34">
        <f>+P98*Assumptions!$H$171*P100</f>
        <v>16830504.110277157</v>
      </c>
      <c r="Q103" s="34">
        <f>+Q98*Assumptions!$H$171*Q100</f>
        <v>18513554.521304876</v>
      </c>
      <c r="R103" s="34">
        <f>+R98*Assumptions!$H$171*R100</f>
        <v>18513554.521304876</v>
      </c>
      <c r="S103" s="34">
        <f>+S98*Assumptions!$H$171*S100</f>
        <v>18513554.521304876</v>
      </c>
      <c r="T103" s="34">
        <f>+T98*Assumptions!$H$171*T100</f>
        <v>18513554.521304876</v>
      </c>
      <c r="U103" s="34">
        <f>+U98*Assumptions!$H$171*U100</f>
        <v>18513554.521304876</v>
      </c>
      <c r="V103" s="34">
        <f>+V98*Assumptions!$H$171*V100</f>
        <v>20364909.973435365</v>
      </c>
      <c r="W103" s="34">
        <f>+W98*Assumptions!$H$171*W100</f>
        <v>20364909.973435365</v>
      </c>
      <c r="X103" s="34">
        <f>+X98*Assumptions!$H$171*X100</f>
        <v>20364909.973435365</v>
      </c>
      <c r="Y103" s="34">
        <f>+Y98*Assumptions!$H$171*Y100</f>
        <v>20364909.973435365</v>
      </c>
      <c r="Z103" s="34">
        <f>+Z98*Assumptions!$H$171*Z100</f>
        <v>20364909.973435365</v>
      </c>
    </row>
    <row r="104" spans="2:26" x14ac:dyDescent="0.35">
      <c r="B104" s="33" t="s">
        <v>247</v>
      </c>
      <c r="C104" s="33"/>
      <c r="D104" s="40"/>
      <c r="E104" s="40"/>
      <c r="F104" s="42">
        <f>-F103*Assumptions!$P$58</f>
        <v>0</v>
      </c>
      <c r="G104" s="42">
        <f>-G103*Assumptions!$P$58</f>
        <v>0</v>
      </c>
      <c r="H104" s="42">
        <f>-H103*Assumptions!$P$58</f>
        <v>0</v>
      </c>
      <c r="I104" s="42">
        <f>-I103*Assumptions!$P$58</f>
        <v>-765022.91410350706</v>
      </c>
      <c r="J104" s="42">
        <f>-J103*Assumptions!$P$58</f>
        <v>-1530045.8282070141</v>
      </c>
      <c r="K104" s="42">
        <f>-K103*Assumptions!$P$58</f>
        <v>-1530045.8282070141</v>
      </c>
      <c r="L104" s="42">
        <f>-L103*Assumptions!$P$58</f>
        <v>-1683050.4110277158</v>
      </c>
      <c r="M104" s="42">
        <f>-M103*Assumptions!$P$58</f>
        <v>-1683050.4110277158</v>
      </c>
      <c r="N104" s="42">
        <f>-N103*Assumptions!$P$58</f>
        <v>-1683050.4110277158</v>
      </c>
      <c r="O104" s="42">
        <f>-O103*Assumptions!$P$58</f>
        <v>-1683050.4110277158</v>
      </c>
      <c r="P104" s="42">
        <f>-P103*Assumptions!$P$58</f>
        <v>-1683050.4110277158</v>
      </c>
      <c r="Q104" s="42">
        <f>-Q103*Assumptions!$P$58</f>
        <v>-1851355.4521304877</v>
      </c>
      <c r="R104" s="42">
        <f>-R103*Assumptions!$P$58</f>
        <v>-1851355.4521304877</v>
      </c>
      <c r="S104" s="42">
        <f>-S103*Assumptions!$P$58</f>
        <v>-1851355.4521304877</v>
      </c>
      <c r="T104" s="42">
        <f>-T103*Assumptions!$P$58</f>
        <v>-1851355.4521304877</v>
      </c>
      <c r="U104" s="42">
        <f>-U103*Assumptions!$P$58</f>
        <v>-1851355.4521304877</v>
      </c>
      <c r="V104" s="42">
        <f>-V103*Assumptions!$P$58</f>
        <v>-2036490.9973435365</v>
      </c>
      <c r="W104" s="42">
        <f>-W103*Assumptions!$P$58</f>
        <v>-2036490.9973435365</v>
      </c>
      <c r="X104" s="42">
        <f>-X103*Assumptions!$P$58</f>
        <v>-2036490.9973435365</v>
      </c>
      <c r="Y104" s="42">
        <f>-Y103*Assumptions!$P$58</f>
        <v>-2036490.9973435365</v>
      </c>
      <c r="Z104" s="42">
        <f>-Z103*Assumptions!$P$58</f>
        <v>-2036490.9973435365</v>
      </c>
    </row>
    <row r="105" spans="2:26" x14ac:dyDescent="0.35">
      <c r="B105" s="33" t="s">
        <v>262</v>
      </c>
      <c r="C105" s="33"/>
      <c r="D105" s="40"/>
      <c r="E105" s="40"/>
      <c r="F105" s="151">
        <f ca="1">+F110*Assumptions!$P$91</f>
        <v>0</v>
      </c>
      <c r="G105" s="151">
        <f ca="1">+G110*Assumptions!$P$91</f>
        <v>0</v>
      </c>
      <c r="H105" s="151">
        <f ca="1">+H110*Assumptions!$P$91</f>
        <v>0</v>
      </c>
      <c r="I105" s="151">
        <f ca="1">+I110*Assumptions!$P$91</f>
        <v>4134102.5259460444</v>
      </c>
      <c r="J105" s="151">
        <f ca="1">+J110*Assumptions!$P$91</f>
        <v>8480591.9700845331</v>
      </c>
      <c r="K105" s="151">
        <f ca="1">+K110*Assumptions!$P$91</f>
        <v>8625892.4750922527</v>
      </c>
      <c r="L105" s="151">
        <f ca="1">+L110*Assumptions!$P$91</f>
        <v>8775551.9952502027</v>
      </c>
      <c r="M105" s="151">
        <f ca="1">+M110*Assumptions!$P$91</f>
        <v>9002446.1370761041</v>
      </c>
      <c r="N105" s="151">
        <f ca="1">+N110*Assumptions!$P$91</f>
        <v>9161219.9220116735</v>
      </c>
      <c r="O105" s="151">
        <f ca="1">+O110*Assumptions!$P$91</f>
        <v>9324756.9204953089</v>
      </c>
      <c r="P105" s="151">
        <f ca="1">+P110*Assumptions!$P$91</f>
        <v>9567399.7617179323</v>
      </c>
      <c r="Q105" s="151">
        <f ca="1">+Q110*Assumptions!$P$91</f>
        <v>9740896.1634092219</v>
      </c>
      <c r="R105" s="151">
        <f ca="1">+R110*Assumptions!$P$91</f>
        <v>9919597.4571512509</v>
      </c>
      <c r="S105" s="151">
        <f ca="1">+S110*Assumptions!$P$91</f>
        <v>10179343.517145704</v>
      </c>
      <c r="T105" s="151">
        <f ca="1">+T110*Assumptions!$P$91</f>
        <v>10368927.719676623</v>
      </c>
      <c r="U105" s="151">
        <f ca="1">+U110*Assumptions!$P$91</f>
        <v>10564199.448283469</v>
      </c>
      <c r="V105" s="151">
        <f ca="1">+V110*Assumptions!$P$91</f>
        <v>10842526.730737491</v>
      </c>
      <c r="W105" s="151">
        <f ca="1">+W110*Assumptions!$P$91</f>
        <v>11049690.507616494</v>
      </c>
      <c r="X105" s="151">
        <f ca="1">+X110*Assumptions!$P$91</f>
        <v>11263069.197801867</v>
      </c>
      <c r="Y105" s="151">
        <f ca="1">+Y110*Assumptions!$P$91</f>
        <v>11561590.598721551</v>
      </c>
      <c r="Z105" s="151">
        <f ca="1">+Z110*Assumptions!$P$91</f>
        <v>11787964.051139213</v>
      </c>
    </row>
    <row r="106" spans="2:26" x14ac:dyDescent="0.35">
      <c r="B106" s="137" t="s">
        <v>256</v>
      </c>
      <c r="C106" s="137"/>
      <c r="D106" s="137"/>
      <c r="E106" s="137"/>
      <c r="F106" s="129">
        <f t="shared" ref="F106:Z106" ca="1" si="37">+SUM(F103:F105)</f>
        <v>0</v>
      </c>
      <c r="G106" s="129">
        <f t="shared" ca="1" si="37"/>
        <v>0</v>
      </c>
      <c r="H106" s="129">
        <f t="shared" ca="1" si="37"/>
        <v>0</v>
      </c>
      <c r="I106" s="129">
        <f t="shared" ca="1" si="37"/>
        <v>11019308.752877608</v>
      </c>
      <c r="J106" s="129">
        <f t="shared" ca="1" si="37"/>
        <v>22251004.423947662</v>
      </c>
      <c r="K106" s="129">
        <f t="shared" ca="1" si="37"/>
        <v>22396304.92895538</v>
      </c>
      <c r="L106" s="129">
        <f t="shared" ca="1" si="37"/>
        <v>23923005.694499642</v>
      </c>
      <c r="M106" s="129">
        <f t="shared" ca="1" si="37"/>
        <v>24149899.836325545</v>
      </c>
      <c r="N106" s="129">
        <f t="shared" ca="1" si="37"/>
        <v>24308673.621261112</v>
      </c>
      <c r="O106" s="129">
        <f t="shared" ca="1" si="37"/>
        <v>24472210.619744748</v>
      </c>
      <c r="P106" s="129">
        <f t="shared" ca="1" si="37"/>
        <v>24714853.460967373</v>
      </c>
      <c r="Q106" s="129">
        <f t="shared" ca="1" si="37"/>
        <v>26403095.232583612</v>
      </c>
      <c r="R106" s="129">
        <f t="shared" ca="1" si="37"/>
        <v>26581796.526325639</v>
      </c>
      <c r="S106" s="129">
        <f t="shared" ca="1" si="37"/>
        <v>26841542.586320095</v>
      </c>
      <c r="T106" s="129">
        <f t="shared" ca="1" si="37"/>
        <v>27031126.788851012</v>
      </c>
      <c r="U106" s="129">
        <f t="shared" ca="1" si="37"/>
        <v>27226398.517457858</v>
      </c>
      <c r="V106" s="129">
        <f t="shared" ca="1" si="37"/>
        <v>29170945.706829317</v>
      </c>
      <c r="W106" s="129">
        <f t="shared" ca="1" si="37"/>
        <v>29378109.483708322</v>
      </c>
      <c r="X106" s="129">
        <f t="shared" ca="1" si="37"/>
        <v>29591488.173893698</v>
      </c>
      <c r="Y106" s="129">
        <f t="shared" ca="1" si="37"/>
        <v>29890009.574813381</v>
      </c>
      <c r="Z106" s="129">
        <f t="shared" ca="1" si="37"/>
        <v>30116383.027231041</v>
      </c>
    </row>
    <row r="108" spans="2:26" x14ac:dyDescent="0.35">
      <c r="B108" s="33" t="s">
        <v>395</v>
      </c>
      <c r="F108" s="34">
        <f>+F97*Assumptions!$P$123*'Phase III Pro Forma'!F101</f>
        <v>0</v>
      </c>
      <c r="G108" s="34">
        <f>+G97*Assumptions!$P$123*'Phase III Pro Forma'!G101</f>
        <v>0</v>
      </c>
      <c r="H108" s="34">
        <f>+H97*Assumptions!$P$123*'Phase III Pro Forma'!H101</f>
        <v>0</v>
      </c>
      <c r="I108" s="34">
        <f>+I97*Assumptions!$P$123*'Phase III Pro Forma'!I101</f>
        <v>2612378.7308111964</v>
      </c>
      <c r="J108" s="34">
        <f>+J97*Assumptions!$P$123*'Phase III Pro Forma'!J101</f>
        <v>5381500.1854710653</v>
      </c>
      <c r="K108" s="34">
        <f>+K97*Assumptions!$P$123*'Phase III Pro Forma'!K101</f>
        <v>5542945.1910351971</v>
      </c>
      <c r="L108" s="34">
        <f>+L97*Assumptions!$P$123*'Phase III Pro Forma'!L101</f>
        <v>5709233.5467662532</v>
      </c>
      <c r="M108" s="34">
        <f>+M97*Assumptions!$P$123*'Phase III Pro Forma'!M101</f>
        <v>5880510.5531692412</v>
      </c>
      <c r="N108" s="34">
        <f>+N97*Assumptions!$P$123*'Phase III Pro Forma'!N101</f>
        <v>6056925.8697643187</v>
      </c>
      <c r="O108" s="34">
        <f>+O97*Assumptions!$P$123*'Phase III Pro Forma'!O101</f>
        <v>6238633.6458572485</v>
      </c>
      <c r="P108" s="34">
        <f>+P97*Assumptions!$P$123*'Phase III Pro Forma'!P101</f>
        <v>6425792.6552329659</v>
      </c>
      <c r="Q108" s="34">
        <f>+Q97*Assumptions!$P$123*'Phase III Pro Forma'!Q101</f>
        <v>6618566.4348899545</v>
      </c>
      <c r="R108" s="34">
        <f>+R97*Assumptions!$P$123*'Phase III Pro Forma'!R101</f>
        <v>6817123.4279366536</v>
      </c>
      <c r="S108" s="34">
        <f>+S97*Assumptions!$P$123*'Phase III Pro Forma'!S101</f>
        <v>7021637.1307747532</v>
      </c>
      <c r="T108" s="34">
        <f>+T97*Assumptions!$P$123*'Phase III Pro Forma'!T101</f>
        <v>7232286.2446979964</v>
      </c>
      <c r="U108" s="34">
        <f>+U97*Assumptions!$P$123*'Phase III Pro Forma'!U101</f>
        <v>7449254.8320389371</v>
      </c>
      <c r="V108" s="34">
        <f>+V97*Assumptions!$P$123*'Phase III Pro Forma'!V101</f>
        <v>7672732.4770001061</v>
      </c>
      <c r="W108" s="34">
        <f>+W97*Assumptions!$P$123*'Phase III Pro Forma'!W101</f>
        <v>7902914.4513101084</v>
      </c>
      <c r="X108" s="34">
        <f>+X97*Assumptions!$P$123*'Phase III Pro Forma'!X101</f>
        <v>8140001.8848494114</v>
      </c>
      <c r="Y108" s="34">
        <f>+Y97*Assumptions!$P$123*'Phase III Pro Forma'!Y101</f>
        <v>8384201.9413948953</v>
      </c>
      <c r="Z108" s="34">
        <f>+Z97*Assumptions!$P$123*'Phase III Pro Forma'!Z101</f>
        <v>8635727.9996367432</v>
      </c>
    </row>
    <row r="109" spans="2:26" x14ac:dyDescent="0.35">
      <c r="B109" s="33" t="s">
        <v>331</v>
      </c>
      <c r="F109" s="151">
        <f ca="1">+IFERROR(INDEX('Taxes and TIF'!$AR$11:$AR$45,MATCH('Phase III Pro Forma'!F$7,'Taxes and TIF'!$AG$11:$AG$45,0)),0)*'Loan Sizing'!$M$19*F98</f>
        <v>0</v>
      </c>
      <c r="G109" s="151">
        <f ca="1">+IFERROR(INDEX('Taxes and TIF'!$AR$11:$AR$45,MATCH('Phase III Pro Forma'!G$7,'Taxes and TIF'!$AG$11:$AG$45,0)),0)*'Loan Sizing'!$M$19*G98</f>
        <v>0</v>
      </c>
      <c r="H109" s="151">
        <f ca="1">+IFERROR(INDEX('Taxes and TIF'!$AR$11:$AR$45,MATCH('Phase III Pro Forma'!H$7,'Taxes and TIF'!$AG$11:$AG$45,0)),0)*'Loan Sizing'!$M$19*H98</f>
        <v>0</v>
      </c>
      <c r="I109" s="151">
        <f ca="1">+IFERROR(INDEX('Taxes and TIF'!$AR$11:$AR$45,MATCH('Phase III Pro Forma'!I$7,'Taxes and TIF'!$AG$11:$AG$45,0)),0)*'Loan Sizing'!$M$19*I98</f>
        <v>1981068.5202399632</v>
      </c>
      <c r="J109" s="151">
        <f ca="1">+IFERROR(INDEX('Taxes and TIF'!$AR$11:$AR$45,MATCH('Phase III Pro Forma'!J$7,'Taxes and TIF'!$AG$11:$AG$45,0)),0)*'Loan Sizing'!$M$19*J98</f>
        <v>4041379.7812895253</v>
      </c>
      <c r="K109" s="151">
        <f ca="1">+IFERROR(INDEX('Taxes and TIF'!$AR$11:$AR$45,MATCH('Phase III Pro Forma'!K$7,'Taxes and TIF'!$AG$11:$AG$45,0)),0)*'Loan Sizing'!$M$19*K98</f>
        <v>4041379.7812895253</v>
      </c>
      <c r="L109" s="151">
        <f ca="1">+IFERROR(INDEX('Taxes and TIF'!$AR$11:$AR$45,MATCH('Phase III Pro Forma'!L$7,'Taxes and TIF'!$AG$11:$AG$45,0)),0)*'Loan Sizing'!$M$19*L98</f>
        <v>4041379.7812895253</v>
      </c>
      <c r="M109" s="151">
        <f ca="1">+IFERROR(INDEX('Taxes and TIF'!$AR$11:$AR$45,MATCH('Phase III Pro Forma'!M$7,'Taxes and TIF'!$AG$11:$AG$45,0)),0)*'Loan Sizing'!$M$19*M98</f>
        <v>4122207.3769153152</v>
      </c>
      <c r="N109" s="151">
        <f ca="1">+IFERROR(INDEX('Taxes and TIF'!$AR$11:$AR$45,MATCH('Phase III Pro Forma'!N$7,'Taxes and TIF'!$AG$11:$AG$45,0)),0)*'Loan Sizing'!$M$19*N98</f>
        <v>4122207.3769153152</v>
      </c>
      <c r="O109" s="151">
        <f ca="1">+IFERROR(INDEX('Taxes and TIF'!$AR$11:$AR$45,MATCH('Phase III Pro Forma'!O$7,'Taxes and TIF'!$AG$11:$AG$45,0)),0)*'Loan Sizing'!$M$19*O98</f>
        <v>4122207.3769153152</v>
      </c>
      <c r="P109" s="151">
        <f ca="1">+IFERROR(INDEX('Taxes and TIF'!$AR$11:$AR$45,MATCH('Phase III Pro Forma'!P$7,'Taxes and TIF'!$AG$11:$AG$45,0)),0)*'Loan Sizing'!$M$19*P98</f>
        <v>4204651.5244536223</v>
      </c>
      <c r="Q109" s="151">
        <f ca="1">+IFERROR(INDEX('Taxes and TIF'!$AR$11:$AR$45,MATCH('Phase III Pro Forma'!Q$7,'Taxes and TIF'!$AG$11:$AG$45,0)),0)*'Loan Sizing'!$M$19*Q98</f>
        <v>4204651.5244536223</v>
      </c>
      <c r="R109" s="151">
        <f ca="1">+IFERROR(INDEX('Taxes and TIF'!$AR$11:$AR$45,MATCH('Phase III Pro Forma'!R$7,'Taxes and TIF'!$AG$11:$AG$45,0)),0)*'Loan Sizing'!$M$19*R98</f>
        <v>4204651.5244536223</v>
      </c>
      <c r="S109" s="151">
        <f ca="1">+IFERROR(INDEX('Taxes and TIF'!$AR$11:$AR$45,MATCH('Phase III Pro Forma'!S$7,'Taxes and TIF'!$AG$11:$AG$45,0)),0)*'Loan Sizing'!$M$19*S98</f>
        <v>4288744.5549426945</v>
      </c>
      <c r="T109" s="151">
        <f ca="1">+IFERROR(INDEX('Taxes and TIF'!$AR$11:$AR$45,MATCH('Phase III Pro Forma'!T$7,'Taxes and TIF'!$AG$11:$AG$45,0)),0)*'Loan Sizing'!$M$19*T98</f>
        <v>4288744.5549426945</v>
      </c>
      <c r="U109" s="151">
        <f ca="1">+IFERROR(INDEX('Taxes and TIF'!$AR$11:$AR$45,MATCH('Phase III Pro Forma'!U$7,'Taxes and TIF'!$AG$11:$AG$45,0)),0)*'Loan Sizing'!$M$19*U98</f>
        <v>4288744.5549426945</v>
      </c>
      <c r="V109" s="151">
        <f ca="1">+IFERROR(INDEX('Taxes and TIF'!$AR$11:$AR$45,MATCH('Phase III Pro Forma'!V$7,'Taxes and TIF'!$AG$11:$AG$45,0)),0)*'Loan Sizing'!$M$19*V98</f>
        <v>4374519.4460415486</v>
      </c>
      <c r="W109" s="151">
        <f ca="1">+IFERROR(INDEX('Taxes and TIF'!$AR$11:$AR$45,MATCH('Phase III Pro Forma'!W$7,'Taxes and TIF'!$AG$11:$AG$45,0)),0)*'Loan Sizing'!$M$19*W98</f>
        <v>4374519.4460415486</v>
      </c>
      <c r="X109" s="151">
        <f ca="1">+IFERROR(INDEX('Taxes and TIF'!$AR$11:$AR$45,MATCH('Phase III Pro Forma'!X$7,'Taxes and TIF'!$AG$11:$AG$45,0)),0)*'Loan Sizing'!$M$19*X98</f>
        <v>4374519.4460415486</v>
      </c>
      <c r="Y109" s="151">
        <f ca="1">+IFERROR(INDEX('Taxes and TIF'!$AR$11:$AR$45,MATCH('Phase III Pro Forma'!Y$7,'Taxes and TIF'!$AG$11:$AG$45,0)),0)*'Loan Sizing'!$M$19*Y98</f>
        <v>4462009.8349623801</v>
      </c>
      <c r="Z109" s="151">
        <f ca="1">+IFERROR(INDEX('Taxes and TIF'!$AR$11:$AR$45,MATCH('Phase III Pro Forma'!Z$7,'Taxes and TIF'!$AG$11:$AG$45,0)),0)*'Loan Sizing'!$M$19*Z98</f>
        <v>4462009.8349623801</v>
      </c>
    </row>
    <row r="110" spans="2:26" x14ac:dyDescent="0.35">
      <c r="B110" s="137" t="s">
        <v>252</v>
      </c>
      <c r="C110" s="137"/>
      <c r="D110" s="137"/>
      <c r="E110" s="137"/>
      <c r="F110" s="129">
        <f ca="1">+SUM(F108:F109)</f>
        <v>0</v>
      </c>
      <c r="G110" s="129">
        <f t="shared" ref="G110" ca="1" si="38">+SUM(G108:G109)</f>
        <v>0</v>
      </c>
      <c r="H110" s="129">
        <f t="shared" ref="H110:Z110" ca="1" si="39">+SUM(H108:H109)</f>
        <v>0</v>
      </c>
      <c r="I110" s="129">
        <f t="shared" ca="1" si="39"/>
        <v>4593447.2510511596</v>
      </c>
      <c r="J110" s="129">
        <f t="shared" ca="1" si="39"/>
        <v>9422879.9667605907</v>
      </c>
      <c r="K110" s="129">
        <f t="shared" ca="1" si="39"/>
        <v>9584324.9723247215</v>
      </c>
      <c r="L110" s="129">
        <f t="shared" ca="1" si="39"/>
        <v>9750613.3280557785</v>
      </c>
      <c r="M110" s="129">
        <f t="shared" ca="1" si="39"/>
        <v>10002717.930084556</v>
      </c>
      <c r="N110" s="129">
        <f t="shared" ca="1" si="39"/>
        <v>10179133.246679634</v>
      </c>
      <c r="O110" s="129">
        <f t="shared" ca="1" si="39"/>
        <v>10360841.022772564</v>
      </c>
      <c r="P110" s="129">
        <f t="shared" ca="1" si="39"/>
        <v>10630444.179686587</v>
      </c>
      <c r="Q110" s="129">
        <f t="shared" ca="1" si="39"/>
        <v>10823217.959343577</v>
      </c>
      <c r="R110" s="129">
        <f t="shared" ca="1" si="39"/>
        <v>11021774.952390276</v>
      </c>
      <c r="S110" s="129">
        <f t="shared" ca="1" si="39"/>
        <v>11310381.685717449</v>
      </c>
      <c r="T110" s="129">
        <f t="shared" ca="1" si="39"/>
        <v>11521030.799640691</v>
      </c>
      <c r="U110" s="129">
        <f t="shared" ca="1" si="39"/>
        <v>11737999.386981633</v>
      </c>
      <c r="V110" s="129">
        <f t="shared" ca="1" si="39"/>
        <v>12047251.923041655</v>
      </c>
      <c r="W110" s="129">
        <f t="shared" ca="1" si="39"/>
        <v>12277433.897351656</v>
      </c>
      <c r="X110" s="129">
        <f t="shared" ca="1" si="39"/>
        <v>12514521.330890961</v>
      </c>
      <c r="Y110" s="129">
        <f t="shared" ca="1" si="39"/>
        <v>12846211.776357275</v>
      </c>
      <c r="Z110" s="129">
        <f t="shared" ca="1" si="39"/>
        <v>13097737.834599122</v>
      </c>
    </row>
    <row r="111" spans="2:26" x14ac:dyDescent="0.35">
      <c r="B111" s="33"/>
    </row>
    <row r="112" spans="2:26" x14ac:dyDescent="0.35">
      <c r="B112" s="138" t="s">
        <v>251</v>
      </c>
      <c r="C112" s="138"/>
      <c r="D112" s="138"/>
      <c r="E112" s="138"/>
      <c r="F112" s="139">
        <f ca="1">+F106-F110</f>
        <v>0</v>
      </c>
      <c r="G112" s="139">
        <f t="shared" ref="G112:Z112" ca="1" si="40">+G106-G110</f>
        <v>0</v>
      </c>
      <c r="H112" s="139">
        <f t="shared" ca="1" si="40"/>
        <v>0</v>
      </c>
      <c r="I112" s="139">
        <f t="shared" ca="1" si="40"/>
        <v>6425861.5018264484</v>
      </c>
      <c r="J112" s="139">
        <f t="shared" ca="1" si="40"/>
        <v>12828124.457187071</v>
      </c>
      <c r="K112" s="139">
        <f t="shared" ca="1" si="40"/>
        <v>12811979.956630658</v>
      </c>
      <c r="L112" s="139">
        <f t="shared" ca="1" si="40"/>
        <v>14172392.366443863</v>
      </c>
      <c r="M112" s="139">
        <f t="shared" ca="1" si="40"/>
        <v>14147181.906240989</v>
      </c>
      <c r="N112" s="139">
        <f t="shared" ca="1" si="40"/>
        <v>14129540.374581479</v>
      </c>
      <c r="O112" s="139">
        <f t="shared" ca="1" si="40"/>
        <v>14111369.596972184</v>
      </c>
      <c r="P112" s="139">
        <f t="shared" ca="1" si="40"/>
        <v>14084409.281280786</v>
      </c>
      <c r="Q112" s="139">
        <f t="shared" ca="1" si="40"/>
        <v>15579877.273240035</v>
      </c>
      <c r="R112" s="139">
        <f t="shared" ca="1" si="40"/>
        <v>15560021.573935363</v>
      </c>
      <c r="S112" s="139">
        <f t="shared" ca="1" si="40"/>
        <v>15531160.900602646</v>
      </c>
      <c r="T112" s="139">
        <f t="shared" ca="1" si="40"/>
        <v>15510095.989210321</v>
      </c>
      <c r="U112" s="139">
        <f t="shared" ca="1" si="40"/>
        <v>15488399.130476225</v>
      </c>
      <c r="V112" s="139">
        <f t="shared" ca="1" si="40"/>
        <v>17123693.78378766</v>
      </c>
      <c r="W112" s="139">
        <f t="shared" ca="1" si="40"/>
        <v>17100675.586356666</v>
      </c>
      <c r="X112" s="139">
        <f t="shared" ca="1" si="40"/>
        <v>17076966.843002737</v>
      </c>
      <c r="Y112" s="139">
        <f t="shared" ca="1" si="40"/>
        <v>17043797.798456106</v>
      </c>
      <c r="Z112" s="139">
        <f t="shared" ca="1" si="40"/>
        <v>17018645.192631919</v>
      </c>
    </row>
    <row r="113" spans="2:26" x14ac:dyDescent="0.35">
      <c r="B113" s="143" t="s">
        <v>257</v>
      </c>
      <c r="C113" s="141"/>
      <c r="D113" s="141"/>
      <c r="E113" s="141"/>
      <c r="F113" s="144" t="str">
        <f ca="1">+IFERROR(F112/F106,"")</f>
        <v/>
      </c>
      <c r="G113" s="144" t="str">
        <f t="shared" ref="G113:Z113" ca="1" si="41">+IFERROR(G112/G106,"")</f>
        <v/>
      </c>
      <c r="H113" s="144" t="str">
        <f t="shared" ca="1" si="41"/>
        <v/>
      </c>
      <c r="I113" s="145">
        <f t="shared" ca="1" si="41"/>
        <v>0.58314560794463477</v>
      </c>
      <c r="J113" s="145">
        <f t="shared" ca="1" si="41"/>
        <v>0.57651889383387978</v>
      </c>
      <c r="K113" s="145">
        <f t="shared" ca="1" si="41"/>
        <v>0.57205775672693704</v>
      </c>
      <c r="L113" s="145">
        <f t="shared" ca="1" si="41"/>
        <v>0.59241687885826022</v>
      </c>
      <c r="M113" s="145">
        <f t="shared" ca="1" si="41"/>
        <v>0.58580706347117961</v>
      </c>
      <c r="N113" s="145">
        <f t="shared" ca="1" si="41"/>
        <v>0.5812550941579695</v>
      </c>
      <c r="O113" s="145">
        <f t="shared" ca="1" si="41"/>
        <v>0.57662831593917407</v>
      </c>
      <c r="P113" s="145">
        <f t="shared" ca="1" si="41"/>
        <v>0.5698763014526691</v>
      </c>
      <c r="Q113" s="145">
        <f t="shared" ca="1" si="41"/>
        <v>0.59007768354420709</v>
      </c>
      <c r="R113" s="145">
        <f t="shared" ca="1" si="41"/>
        <v>0.58536380558497192</v>
      </c>
      <c r="S113" s="145">
        <f t="shared" ca="1" si="41"/>
        <v>0.57862400607773445</v>
      </c>
      <c r="T113" s="145">
        <f t="shared" ca="1" si="41"/>
        <v>0.57378651324322372</v>
      </c>
      <c r="U113" s="145">
        <f t="shared" ca="1" si="41"/>
        <v>0.56887432689802497</v>
      </c>
      <c r="V113" s="145">
        <f t="shared" ca="1" si="41"/>
        <v>0.58701195209378387</v>
      </c>
      <c r="W113" s="145">
        <f t="shared" ca="1" si="41"/>
        <v>0.58208904136053663</v>
      </c>
      <c r="X113" s="145">
        <f t="shared" ca="1" si="41"/>
        <v>0.57709050462924794</v>
      </c>
      <c r="Y113" s="145">
        <f t="shared" ca="1" si="41"/>
        <v>0.57021720771939632</v>
      </c>
      <c r="Z113" s="145">
        <f t="shared" ca="1" si="41"/>
        <v>0.56509592062379366</v>
      </c>
    </row>
    <row r="114" spans="2:26" x14ac:dyDescent="0.35">
      <c r="B114" s="143" t="s">
        <v>191</v>
      </c>
      <c r="C114" s="141"/>
      <c r="D114" s="141"/>
      <c r="E114" s="141"/>
      <c r="F114" s="142">
        <f ca="1">+F112/Assumptions!$P$133</f>
        <v>0</v>
      </c>
      <c r="G114" s="142">
        <f ca="1">+G112/Assumptions!$P$133</f>
        <v>0</v>
      </c>
      <c r="H114" s="142">
        <f ca="1">+H112/Assumptions!$P$133</f>
        <v>0</v>
      </c>
      <c r="I114" s="142">
        <f ca="1">+I112/Assumptions!$P$133</f>
        <v>98859407.72040689</v>
      </c>
      <c r="J114" s="142">
        <f ca="1">+J112/Assumptions!$P$133</f>
        <v>197355760.87980109</v>
      </c>
      <c r="K114" s="142">
        <f ca="1">+K112/Assumptions!$P$133</f>
        <v>197107383.94816396</v>
      </c>
      <c r="L114" s="142">
        <f ca="1">+L112/Assumptions!$P$133</f>
        <v>218036805.63759789</v>
      </c>
      <c r="M114" s="142">
        <f ca="1">+M112/Assumptions!$P$133</f>
        <v>217648952.4037075</v>
      </c>
      <c r="N114" s="142">
        <f ca="1">+N112/Assumptions!$P$133</f>
        <v>217377544.22433043</v>
      </c>
      <c r="O114" s="142">
        <f ca="1">+O112/Assumptions!$P$133</f>
        <v>217097993.79957205</v>
      </c>
      <c r="P114" s="142">
        <f ca="1">+P112/Assumptions!$P$133</f>
        <v>216683219.71201208</v>
      </c>
      <c r="Q114" s="142">
        <f ca="1">+Q112/Assumptions!$P$133</f>
        <v>239690419.58830822</v>
      </c>
      <c r="R114" s="142">
        <f ca="1">+R112/Assumptions!$P$133</f>
        <v>239384947.29131326</v>
      </c>
      <c r="S114" s="142">
        <f ca="1">+S112/Assumptions!$P$133</f>
        <v>238940936.9323484</v>
      </c>
      <c r="T114" s="142">
        <f ca="1">+T112/Assumptions!$P$133</f>
        <v>238616861.37246647</v>
      </c>
      <c r="U114" s="142">
        <f ca="1">+U112/Assumptions!$P$133</f>
        <v>238283063.54578808</v>
      </c>
      <c r="V114" s="142">
        <f ca="1">+V112/Assumptions!$P$133</f>
        <v>263441442.82750246</v>
      </c>
      <c r="W114" s="142">
        <f ca="1">+W112/Assumptions!$P$133</f>
        <v>263087316.71317947</v>
      </c>
      <c r="X114" s="142">
        <f ca="1">+X112/Assumptions!$P$133</f>
        <v>262722566.81542671</v>
      </c>
      <c r="Y114" s="142">
        <f ca="1">+Y112/Assumptions!$P$133</f>
        <v>262212273.82240161</v>
      </c>
      <c r="Z114" s="142">
        <f ca="1">+Z112/Assumptions!$P$133</f>
        <v>261825310.65587565</v>
      </c>
    </row>
    <row r="116" spans="2:26" x14ac:dyDescent="0.35">
      <c r="B116" s="148" t="s">
        <v>224</v>
      </c>
      <c r="C116" s="149"/>
      <c r="D116" s="149"/>
      <c r="E116" s="149"/>
      <c r="F116" s="150">
        <f>+Assumptions!$H$22</f>
        <v>45657</v>
      </c>
      <c r="G116" s="150">
        <f>+EOMONTH(F116,12)</f>
        <v>46022</v>
      </c>
      <c r="H116" s="150">
        <f t="shared" ref="H116:Z116" si="42">+EOMONTH(G116,12)</f>
        <v>46387</v>
      </c>
      <c r="I116" s="150">
        <f t="shared" si="42"/>
        <v>46752</v>
      </c>
      <c r="J116" s="150">
        <f t="shared" si="42"/>
        <v>47118</v>
      </c>
      <c r="K116" s="150">
        <f t="shared" si="42"/>
        <v>47483</v>
      </c>
      <c r="L116" s="150">
        <f t="shared" si="42"/>
        <v>47848</v>
      </c>
      <c r="M116" s="150">
        <f t="shared" si="42"/>
        <v>48213</v>
      </c>
      <c r="N116" s="150">
        <f t="shared" si="42"/>
        <v>48579</v>
      </c>
      <c r="O116" s="150">
        <f t="shared" si="42"/>
        <v>48944</v>
      </c>
      <c r="P116" s="150">
        <f t="shared" si="42"/>
        <v>49309</v>
      </c>
      <c r="Q116" s="150">
        <f t="shared" si="42"/>
        <v>49674</v>
      </c>
      <c r="R116" s="150">
        <f t="shared" si="42"/>
        <v>50040</v>
      </c>
      <c r="S116" s="150">
        <f t="shared" si="42"/>
        <v>50405</v>
      </c>
      <c r="T116" s="150">
        <f t="shared" si="42"/>
        <v>50770</v>
      </c>
      <c r="U116" s="150">
        <f t="shared" si="42"/>
        <v>51135</v>
      </c>
      <c r="V116" s="150">
        <f t="shared" si="42"/>
        <v>51501</v>
      </c>
      <c r="W116" s="150">
        <f t="shared" si="42"/>
        <v>51866</v>
      </c>
      <c r="X116" s="150">
        <f t="shared" si="42"/>
        <v>52231</v>
      </c>
      <c r="Y116" s="150">
        <f t="shared" si="42"/>
        <v>52596</v>
      </c>
      <c r="Z116" s="150">
        <f t="shared" si="42"/>
        <v>52962</v>
      </c>
    </row>
    <row r="117" spans="2:26" x14ac:dyDescent="0.35">
      <c r="B117" s="33" t="s">
        <v>766</v>
      </c>
      <c r="C117" s="33"/>
      <c r="D117" s="40"/>
      <c r="E117" s="40"/>
      <c r="F117" s="42">
        <f>+IF(AND(F116&gt;=Assumptions!$H$26,F116&lt;Assumptions!$H$28),SUM(Assumptions!$H$204:$H$205)/ROUNDUP((Assumptions!$H$27/12),0),0)</f>
        <v>0</v>
      </c>
      <c r="G117" s="42">
        <f>+IF(AND(G116&gt;=Assumptions!$H$26,G116&lt;Assumptions!$H$28),SUM(Assumptions!$H$204:$H$205)/ROUNDUP((Assumptions!$H$27/12),0),0)</f>
        <v>0</v>
      </c>
      <c r="H117" s="42">
        <f>+IF(AND(H116&gt;=Assumptions!$H$26,H116&lt;Assumptions!$H$28),SUM(Assumptions!$H$204:$H$205)/ROUNDUP((Assumptions!$H$27/12),0),0)</f>
        <v>0</v>
      </c>
      <c r="I117" s="42">
        <f>+IF(AND(I116&gt;=Assumptions!$H$26,I116&lt;Assumptions!$H$28),SUM(Assumptions!$H$204:$H$205)/ROUNDUP((Assumptions!$H$27/12),0),0)</f>
        <v>99000</v>
      </c>
      <c r="J117" s="42">
        <f>+IF(AND(J116&gt;=Assumptions!$H$26,J116&lt;Assumptions!$H$28),SUM(Assumptions!$H$204:$H$205)/ROUNDUP((Assumptions!$H$27/12),0),0)</f>
        <v>99000</v>
      </c>
      <c r="K117" s="42">
        <f>+IF(AND(K116&gt;=Assumptions!$H$26,K116&lt;Assumptions!$H$28),SUM(Assumptions!$H$204:$H$205)/ROUNDUP((Assumptions!$H$27/12),0),0)</f>
        <v>0</v>
      </c>
      <c r="L117" s="42">
        <f>+IF(AND(L116&gt;=Assumptions!$H$26,L116&lt;Assumptions!$H$28),SUM(Assumptions!$H$204:$H$205)/ROUNDUP((Assumptions!$H$27/12),0),0)</f>
        <v>0</v>
      </c>
      <c r="M117" s="42">
        <f>+IF(AND(M116&gt;=Assumptions!$H$26,M116&lt;Assumptions!$H$28),SUM(Assumptions!$H$204:$H$205)/ROUNDUP((Assumptions!$H$27/12),0),0)</f>
        <v>0</v>
      </c>
      <c r="N117" s="42">
        <f>+IF(AND(N116&gt;=Assumptions!$H$26,N116&lt;Assumptions!$H$28),SUM(Assumptions!$H$204:$H$205)/ROUNDUP((Assumptions!$H$27/12),0),0)</f>
        <v>0</v>
      </c>
      <c r="O117" s="42">
        <f>+IF(AND(O116&gt;=Assumptions!$H$26,O116&lt;Assumptions!$H$28),SUM(Assumptions!$H$204:$H$205)/ROUNDUP((Assumptions!$H$27/12),0),0)</f>
        <v>0</v>
      </c>
      <c r="P117" s="42">
        <f>+IF(AND(P116&gt;=Assumptions!$H$26,P116&lt;Assumptions!$H$28),SUM(Assumptions!$H$204:$H$205)/ROUNDUP((Assumptions!$H$27/12),0),0)</f>
        <v>0</v>
      </c>
      <c r="Q117" s="42">
        <f>+IF(AND(Q116&gt;=Assumptions!$H$26,Q116&lt;Assumptions!$H$28),SUM(Assumptions!$H$204:$H$205)/ROUNDUP((Assumptions!$H$27/12),0),0)</f>
        <v>0</v>
      </c>
      <c r="R117" s="42">
        <f>+IF(AND(R116&gt;=Assumptions!$H$26,R116&lt;Assumptions!$H$28),SUM(Assumptions!$H$204:$H$205)/ROUNDUP((Assumptions!$H$27/12),0),0)</f>
        <v>0</v>
      </c>
      <c r="S117" s="42">
        <f>+IF(AND(S116&gt;=Assumptions!$H$26,S116&lt;Assumptions!$H$28),SUM(Assumptions!$H$204:$H$205)/ROUNDUP((Assumptions!$H$27/12),0),0)</f>
        <v>0</v>
      </c>
      <c r="T117" s="42">
        <f>+IF(AND(T116&gt;=Assumptions!$H$26,T116&lt;Assumptions!$H$28),SUM(Assumptions!$H$204:$H$205)/ROUNDUP((Assumptions!$H$27/12),0),0)</f>
        <v>0</v>
      </c>
      <c r="U117" s="42">
        <f>+IF(AND(U116&gt;=Assumptions!$H$26,U116&lt;Assumptions!$H$28),SUM(Assumptions!$H$204:$H$205)/ROUNDUP((Assumptions!$H$27/12),0),0)</f>
        <v>0</v>
      </c>
      <c r="V117" s="42">
        <f>+IF(AND(V116&gt;=Assumptions!$H$26,V116&lt;Assumptions!$H$28),SUM(Assumptions!$H$204:$H$205)/ROUNDUP((Assumptions!$H$27/12),0),0)</f>
        <v>0</v>
      </c>
      <c r="W117" s="42">
        <f>+IF(AND(W116&gt;=Assumptions!$H$26,W116&lt;Assumptions!$H$28),SUM(Assumptions!$H$204:$H$205)/ROUNDUP((Assumptions!$H$27/12),0),0)</f>
        <v>0</v>
      </c>
      <c r="X117" s="42">
        <f>+IF(AND(X116&gt;=Assumptions!$H$26,X116&lt;Assumptions!$H$28),SUM(Assumptions!$H$204:$H$205)/ROUNDUP((Assumptions!$H$27/12),0),0)</f>
        <v>0</v>
      </c>
      <c r="Y117" s="42">
        <f>+IF(AND(Y116&gt;=Assumptions!$H$26,Y116&lt;Assumptions!$H$28),SUM(Assumptions!$H$204:$H$205)/ROUNDUP((Assumptions!$H$27/12),0),0)</f>
        <v>0</v>
      </c>
      <c r="Z117" s="42">
        <f>+IF(AND(Z116&gt;=Assumptions!$H$26,Z116&lt;Assumptions!$H$28),SUM(Assumptions!$H$204:$H$205)/ROUNDUP((Assumptions!$H$27/12),0),0)</f>
        <v>0</v>
      </c>
    </row>
    <row r="118" spans="2:26" x14ac:dyDescent="0.35">
      <c r="B118" s="33" t="s">
        <v>496</v>
      </c>
      <c r="C118" s="33"/>
      <c r="D118" s="42"/>
      <c r="E118" s="42"/>
      <c r="F118" s="42">
        <f>+F119-E119</f>
        <v>0</v>
      </c>
      <c r="G118" s="42">
        <f t="shared" ref="G118:Z118" si="43">+G119-F119</f>
        <v>0</v>
      </c>
      <c r="H118" s="42">
        <f t="shared" si="43"/>
        <v>0</v>
      </c>
      <c r="I118" s="42">
        <f t="shared" si="43"/>
        <v>300</v>
      </c>
      <c r="J118" s="42">
        <f t="shared" si="43"/>
        <v>300</v>
      </c>
      <c r="K118" s="42">
        <f t="shared" si="43"/>
        <v>0</v>
      </c>
      <c r="L118" s="42">
        <f t="shared" si="43"/>
        <v>0</v>
      </c>
      <c r="M118" s="42">
        <f t="shared" si="43"/>
        <v>0</v>
      </c>
      <c r="N118" s="42">
        <f t="shared" si="43"/>
        <v>0</v>
      </c>
      <c r="O118" s="42">
        <f t="shared" si="43"/>
        <v>0</v>
      </c>
      <c r="P118" s="42">
        <f t="shared" si="43"/>
        <v>0</v>
      </c>
      <c r="Q118" s="42">
        <f t="shared" si="43"/>
        <v>0</v>
      </c>
      <c r="R118" s="42">
        <f t="shared" si="43"/>
        <v>0</v>
      </c>
      <c r="S118" s="42">
        <f t="shared" si="43"/>
        <v>0</v>
      </c>
      <c r="T118" s="42">
        <f t="shared" si="43"/>
        <v>0</v>
      </c>
      <c r="U118" s="42">
        <f t="shared" si="43"/>
        <v>0</v>
      </c>
      <c r="V118" s="42">
        <f t="shared" si="43"/>
        <v>0</v>
      </c>
      <c r="W118" s="42">
        <f t="shared" si="43"/>
        <v>0</v>
      </c>
      <c r="X118" s="42">
        <f t="shared" si="43"/>
        <v>0</v>
      </c>
      <c r="Y118" s="42">
        <f t="shared" si="43"/>
        <v>0</v>
      </c>
      <c r="Z118" s="42">
        <f t="shared" si="43"/>
        <v>0</v>
      </c>
    </row>
    <row r="119" spans="2:26" x14ac:dyDescent="0.35">
      <c r="B119" s="33" t="s">
        <v>250</v>
      </c>
      <c r="C119" s="33"/>
      <c r="D119" s="40"/>
      <c r="E119" s="40"/>
      <c r="F119" s="42">
        <f>+F121*SUM(Assumptions!$P$49:$P$50)</f>
        <v>0</v>
      </c>
      <c r="G119" s="42">
        <f>+G121*SUM(Assumptions!$P$49:$P$50)</f>
        <v>0</v>
      </c>
      <c r="H119" s="42">
        <f>+H121*SUM(Assumptions!$P$49:$P$50)</f>
        <v>0</v>
      </c>
      <c r="I119" s="42">
        <f>+I121*SUM(Assumptions!$P$49:$P$50)</f>
        <v>300</v>
      </c>
      <c r="J119" s="42">
        <f>+J121*SUM(Assumptions!$P$49:$P$50)</f>
        <v>600</v>
      </c>
      <c r="K119" s="42">
        <f>+K121*SUM(Assumptions!$P$49:$P$50)</f>
        <v>600</v>
      </c>
      <c r="L119" s="42">
        <f>+L121*SUM(Assumptions!$P$49:$P$50)</f>
        <v>600</v>
      </c>
      <c r="M119" s="42">
        <f>+M121*SUM(Assumptions!$P$49:$P$50)</f>
        <v>600</v>
      </c>
      <c r="N119" s="42">
        <f>+N121*SUM(Assumptions!$P$49:$P$50)</f>
        <v>600</v>
      </c>
      <c r="O119" s="42">
        <f>+O121*SUM(Assumptions!$P$49:$P$50)</f>
        <v>600</v>
      </c>
      <c r="P119" s="42">
        <f>+P121*SUM(Assumptions!$P$49:$P$50)</f>
        <v>600</v>
      </c>
      <c r="Q119" s="42">
        <f>+Q121*SUM(Assumptions!$P$49:$P$50)</f>
        <v>600</v>
      </c>
      <c r="R119" s="42">
        <f>+R121*SUM(Assumptions!$P$49:$P$50)</f>
        <v>600</v>
      </c>
      <c r="S119" s="42">
        <f>+S121*SUM(Assumptions!$P$49:$P$50)</f>
        <v>600</v>
      </c>
      <c r="T119" s="42">
        <f>+T121*SUM(Assumptions!$P$49:$P$50)</f>
        <v>600</v>
      </c>
      <c r="U119" s="42">
        <f>+U121*SUM(Assumptions!$P$49:$P$50)</f>
        <v>600</v>
      </c>
      <c r="V119" s="42">
        <f>+V121*SUM(Assumptions!$P$49:$P$50)</f>
        <v>600</v>
      </c>
      <c r="W119" s="42">
        <f>+W121*SUM(Assumptions!$P$49:$P$50)</f>
        <v>600</v>
      </c>
      <c r="X119" s="42">
        <f>+X121*SUM(Assumptions!$P$49:$P$50)</f>
        <v>600</v>
      </c>
      <c r="Y119" s="42">
        <f>+Y121*SUM(Assumptions!$P$49:$P$50)</f>
        <v>600</v>
      </c>
      <c r="Z119" s="42">
        <f>+Z121*SUM(Assumptions!$P$49:$P$50)</f>
        <v>600</v>
      </c>
    </row>
    <row r="120" spans="2:26" x14ac:dyDescent="0.35">
      <c r="B120" s="33" t="s">
        <v>249</v>
      </c>
      <c r="C120" s="33"/>
      <c r="D120" s="42">
        <v>0</v>
      </c>
      <c r="E120" s="42"/>
      <c r="F120" s="42">
        <f>+D120+F117</f>
        <v>0</v>
      </c>
      <c r="G120" s="42">
        <f t="shared" ref="G120:Z120" si="44">+F120+G117</f>
        <v>0</v>
      </c>
      <c r="H120" s="42">
        <f t="shared" si="44"/>
        <v>0</v>
      </c>
      <c r="I120" s="42">
        <f t="shared" si="44"/>
        <v>99000</v>
      </c>
      <c r="J120" s="42">
        <f t="shared" si="44"/>
        <v>198000</v>
      </c>
      <c r="K120" s="42">
        <f t="shared" si="44"/>
        <v>198000</v>
      </c>
      <c r="L120" s="42">
        <f t="shared" si="44"/>
        <v>198000</v>
      </c>
      <c r="M120" s="42">
        <f t="shared" si="44"/>
        <v>198000</v>
      </c>
      <c r="N120" s="42">
        <f t="shared" si="44"/>
        <v>198000</v>
      </c>
      <c r="O120" s="42">
        <f t="shared" si="44"/>
        <v>198000</v>
      </c>
      <c r="P120" s="42">
        <f t="shared" si="44"/>
        <v>198000</v>
      </c>
      <c r="Q120" s="42">
        <f t="shared" si="44"/>
        <v>198000</v>
      </c>
      <c r="R120" s="42">
        <f t="shared" si="44"/>
        <v>198000</v>
      </c>
      <c r="S120" s="42">
        <f t="shared" si="44"/>
        <v>198000</v>
      </c>
      <c r="T120" s="42">
        <f t="shared" si="44"/>
        <v>198000</v>
      </c>
      <c r="U120" s="42">
        <f t="shared" si="44"/>
        <v>198000</v>
      </c>
      <c r="V120" s="42">
        <f t="shared" si="44"/>
        <v>198000</v>
      </c>
      <c r="W120" s="42">
        <f t="shared" si="44"/>
        <v>198000</v>
      </c>
      <c r="X120" s="42">
        <f t="shared" si="44"/>
        <v>198000</v>
      </c>
      <c r="Y120" s="42">
        <f t="shared" si="44"/>
        <v>198000</v>
      </c>
      <c r="Z120" s="42">
        <f t="shared" si="44"/>
        <v>198000</v>
      </c>
    </row>
    <row r="121" spans="2:26" x14ac:dyDescent="0.35">
      <c r="B121" s="33" t="s">
        <v>306</v>
      </c>
      <c r="C121" s="33"/>
      <c r="D121" s="42"/>
      <c r="E121" s="42"/>
      <c r="F121" s="108">
        <f t="shared" ref="F121:Z121" si="45">+F120/SUM($F117:$Z117)</f>
        <v>0</v>
      </c>
      <c r="G121" s="108">
        <f t="shared" si="45"/>
        <v>0</v>
      </c>
      <c r="H121" s="108">
        <f t="shared" si="45"/>
        <v>0</v>
      </c>
      <c r="I121" s="108">
        <f t="shared" si="45"/>
        <v>0.5</v>
      </c>
      <c r="J121" s="108">
        <f t="shared" si="45"/>
        <v>1</v>
      </c>
      <c r="K121" s="108">
        <f t="shared" si="45"/>
        <v>1</v>
      </c>
      <c r="L121" s="108">
        <f t="shared" si="45"/>
        <v>1</v>
      </c>
      <c r="M121" s="108">
        <f t="shared" si="45"/>
        <v>1</v>
      </c>
      <c r="N121" s="108">
        <f t="shared" si="45"/>
        <v>1</v>
      </c>
      <c r="O121" s="108">
        <f t="shared" si="45"/>
        <v>1</v>
      </c>
      <c r="P121" s="108">
        <f t="shared" si="45"/>
        <v>1</v>
      </c>
      <c r="Q121" s="108">
        <f t="shared" si="45"/>
        <v>1</v>
      </c>
      <c r="R121" s="108">
        <f t="shared" si="45"/>
        <v>1</v>
      </c>
      <c r="S121" s="108">
        <f t="shared" si="45"/>
        <v>1</v>
      </c>
      <c r="T121" s="108">
        <f t="shared" si="45"/>
        <v>1</v>
      </c>
      <c r="U121" s="108">
        <f t="shared" si="45"/>
        <v>1</v>
      </c>
      <c r="V121" s="108">
        <f t="shared" si="45"/>
        <v>1</v>
      </c>
      <c r="W121" s="108">
        <f t="shared" si="45"/>
        <v>1</v>
      </c>
      <c r="X121" s="108">
        <f t="shared" si="45"/>
        <v>1</v>
      </c>
      <c r="Y121" s="108">
        <f t="shared" si="45"/>
        <v>1</v>
      </c>
      <c r="Z121" s="108">
        <f t="shared" si="45"/>
        <v>1</v>
      </c>
    </row>
    <row r="122" spans="2:26" x14ac:dyDescent="0.35">
      <c r="B122" s="33"/>
      <c r="C122" s="33"/>
      <c r="D122" s="40"/>
      <c r="E122" s="40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2:26" x14ac:dyDescent="0.35">
      <c r="B123" s="33" t="s">
        <v>254</v>
      </c>
      <c r="C123" s="33"/>
      <c r="D123" s="42"/>
      <c r="E123" s="42"/>
      <c r="F123" s="108">
        <v>1</v>
      </c>
      <c r="G123" s="108">
        <f>+F123*(1+Assumptions!$P$74)</f>
        <v>1.02</v>
      </c>
      <c r="H123" s="108">
        <f>+G123*(1+Assumptions!$P$74)</f>
        <v>1.0404</v>
      </c>
      <c r="I123" s="108">
        <f>+H123*(1+Assumptions!$P$74)</f>
        <v>1.0612079999999999</v>
      </c>
      <c r="J123" s="108">
        <f>+I123*(1+Assumptions!$P$74)</f>
        <v>1.08243216</v>
      </c>
      <c r="K123" s="108">
        <f>+J123*(1+Assumptions!$P$74)</f>
        <v>1.1040808032</v>
      </c>
      <c r="L123" s="108">
        <f>+K123*(1+Assumptions!$P$74)</f>
        <v>1.1261624192640001</v>
      </c>
      <c r="M123" s="108">
        <f>+L123*(1+Assumptions!$P$74)</f>
        <v>1.14868566764928</v>
      </c>
      <c r="N123" s="108">
        <f>+M123*(1+Assumptions!$P$74)</f>
        <v>1.1716593810022657</v>
      </c>
      <c r="O123" s="108">
        <f>+N123*(1+Assumptions!$P$74)</f>
        <v>1.1950925686223111</v>
      </c>
      <c r="P123" s="108">
        <f>+O123*(1+Assumptions!$P$74)</f>
        <v>1.2189944199947573</v>
      </c>
      <c r="Q123" s="108">
        <f>+P123*(1+Assumptions!$P$74)</f>
        <v>1.2433743083946525</v>
      </c>
      <c r="R123" s="108">
        <f>+Q123*(1+Assumptions!$P$74)</f>
        <v>1.2682417945625455</v>
      </c>
      <c r="S123" s="108">
        <f>+R123*(1+Assumptions!$P$74)</f>
        <v>1.2936066304537963</v>
      </c>
      <c r="T123" s="108">
        <f>+S123*(1+Assumptions!$P$74)</f>
        <v>1.3194787630628724</v>
      </c>
      <c r="U123" s="108">
        <f>+T123*(1+Assumptions!$P$74)</f>
        <v>1.3458683383241299</v>
      </c>
      <c r="V123" s="108">
        <f>+U123*(1+Assumptions!$P$74)</f>
        <v>1.3727857050906125</v>
      </c>
      <c r="W123" s="108">
        <f>+V123*(1+Assumptions!$P$74)</f>
        <v>1.4002414191924248</v>
      </c>
      <c r="X123" s="108">
        <f>+W123*(1+Assumptions!$P$74)</f>
        <v>1.4282462475762734</v>
      </c>
      <c r="Y123" s="108">
        <f>+X123*(1+Assumptions!$P$74)</f>
        <v>1.4568111725277988</v>
      </c>
      <c r="Z123" s="108">
        <f>+Y123*(1+Assumptions!$P$74)</f>
        <v>1.4859473959783549</v>
      </c>
    </row>
    <row r="124" spans="2:26" x14ac:dyDescent="0.35">
      <c r="B124" s="33" t="s">
        <v>255</v>
      </c>
      <c r="C124" s="33"/>
      <c r="D124" s="42"/>
      <c r="E124" s="42"/>
      <c r="F124" s="108">
        <v>1</v>
      </c>
      <c r="G124" s="108">
        <f>+F124*(1+Assumptions!$P$82)</f>
        <v>1.03</v>
      </c>
      <c r="H124" s="108">
        <f>+G124*(1+Assumptions!$P$82)</f>
        <v>1.0609</v>
      </c>
      <c r="I124" s="108">
        <f>+H124*(1+Assumptions!$P$82)</f>
        <v>1.092727</v>
      </c>
      <c r="J124" s="108">
        <f>+I124*(1+Assumptions!$P$82)</f>
        <v>1.1255088100000001</v>
      </c>
      <c r="K124" s="108">
        <f>+J124*(1+Assumptions!$P$82)</f>
        <v>1.1592740743000001</v>
      </c>
      <c r="L124" s="108">
        <f>+K124*(1+Assumptions!$P$82)</f>
        <v>1.1940522965290001</v>
      </c>
      <c r="M124" s="108">
        <f>+L124*(1+Assumptions!$P$82)</f>
        <v>1.2298738654248702</v>
      </c>
      <c r="N124" s="108">
        <f>+M124*(1+Assumptions!$P$82)</f>
        <v>1.2667700813876164</v>
      </c>
      <c r="O124" s="108">
        <f>+N124*(1+Assumptions!$P$82)</f>
        <v>1.3047731838292449</v>
      </c>
      <c r="P124" s="108">
        <f>+O124*(1+Assumptions!$P$82)</f>
        <v>1.3439163793441222</v>
      </c>
      <c r="Q124" s="108">
        <f>+P124*(1+Assumptions!$P$82)</f>
        <v>1.3842338707244459</v>
      </c>
      <c r="R124" s="108">
        <f>+Q124*(1+Assumptions!$P$82)</f>
        <v>1.4257608868461793</v>
      </c>
      <c r="S124" s="108">
        <f>+R124*(1+Assumptions!$P$82)</f>
        <v>1.4685337134515648</v>
      </c>
      <c r="T124" s="108">
        <f>+S124*(1+Assumptions!$P$82)</f>
        <v>1.5125897248551119</v>
      </c>
      <c r="U124" s="108">
        <f>+T124*(1+Assumptions!$P$82)</f>
        <v>1.5579674166007653</v>
      </c>
      <c r="V124" s="108">
        <f>+U124*(1+Assumptions!$P$82)</f>
        <v>1.6047064390987884</v>
      </c>
      <c r="W124" s="108">
        <f>+V124*(1+Assumptions!$P$82)</f>
        <v>1.652847632271752</v>
      </c>
      <c r="X124" s="108">
        <f>+W124*(1+Assumptions!$P$82)</f>
        <v>1.7024330612399046</v>
      </c>
      <c r="Y124" s="108">
        <f>+X124*(1+Assumptions!$P$82)</f>
        <v>1.7535060530771018</v>
      </c>
      <c r="Z124" s="108">
        <f>+Y124*(1+Assumptions!$P$82)</f>
        <v>1.806111234669415</v>
      </c>
    </row>
    <row r="125" spans="2:26" x14ac:dyDescent="0.35">
      <c r="B125" s="33"/>
      <c r="C125" s="33"/>
      <c r="D125" s="40"/>
      <c r="E125" s="40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2:26" x14ac:dyDescent="0.35">
      <c r="B126" s="33" t="s">
        <v>246</v>
      </c>
      <c r="C126" s="33"/>
      <c r="D126" s="40"/>
      <c r="E126" s="40"/>
      <c r="F126" s="34">
        <f>+F121*Assumptions!$H$203*F123</f>
        <v>0</v>
      </c>
      <c r="G126" s="34">
        <f>+G121*Assumptions!$H$203*G123</f>
        <v>0</v>
      </c>
      <c r="H126" s="34">
        <f>+H121*Assumptions!$H$203*H123</f>
        <v>0</v>
      </c>
      <c r="I126" s="34">
        <f>+I121*Assumptions!$H$203*I123</f>
        <v>558261.23447755014</v>
      </c>
      <c r="J126" s="34">
        <f>+J121*Assumptions!$H$203*J123</f>
        <v>1138852.9183342024</v>
      </c>
      <c r="K126" s="34">
        <f>+K121*Assumptions!$H$203*K123</f>
        <v>1161629.9767008864</v>
      </c>
      <c r="L126" s="34">
        <f>+L121*Assumptions!$H$203*L123</f>
        <v>1184862.5762349041</v>
      </c>
      <c r="M126" s="34">
        <f>+M121*Assumptions!$H$203*M123</f>
        <v>1208559.8277596021</v>
      </c>
      <c r="N126" s="34">
        <f>+N121*Assumptions!$H$203*N123</f>
        <v>1232731.0243147945</v>
      </c>
      <c r="O126" s="34">
        <f>+O121*Assumptions!$H$203*O123</f>
        <v>1257385.6448010902</v>
      </c>
      <c r="P126" s="34">
        <f>+P121*Assumptions!$H$203*P123</f>
        <v>1282533.357697112</v>
      </c>
      <c r="Q126" s="34">
        <f>+Q121*Assumptions!$H$203*Q123</f>
        <v>1308184.0248510544</v>
      </c>
      <c r="R126" s="34">
        <f>+R121*Assumptions!$H$203*R123</f>
        <v>1334347.7053480754</v>
      </c>
      <c r="S126" s="34">
        <f>+S121*Assumptions!$H$203*S123</f>
        <v>1361034.6594550367</v>
      </c>
      <c r="T126" s="34">
        <f>+T121*Assumptions!$H$203*T123</f>
        <v>1388255.3526441376</v>
      </c>
      <c r="U126" s="34">
        <f>+U121*Assumptions!$H$203*U123</f>
        <v>1416020.4596970205</v>
      </c>
      <c r="V126" s="34">
        <f>+V121*Assumptions!$H$203*V123</f>
        <v>1444340.8688909609</v>
      </c>
      <c r="W126" s="34">
        <f>+W121*Assumptions!$H$203*W123</f>
        <v>1473227.6862687801</v>
      </c>
      <c r="X126" s="34">
        <f>+X121*Assumptions!$H$203*X123</f>
        <v>1502692.2399941559</v>
      </c>
      <c r="Y126" s="34">
        <f>+Y121*Assumptions!$H$203*Y123</f>
        <v>1532746.0847940389</v>
      </c>
      <c r="Z126" s="34">
        <f>+Z121*Assumptions!$H$203*Z123</f>
        <v>1563401.00648992</v>
      </c>
    </row>
    <row r="127" spans="2:26" x14ac:dyDescent="0.35">
      <c r="B127" s="33" t="s">
        <v>247</v>
      </c>
      <c r="C127" s="33"/>
      <c r="D127" s="40"/>
      <c r="E127" s="40"/>
      <c r="F127" s="42">
        <f>-F126*Assumptions!$P$60</f>
        <v>0</v>
      </c>
      <c r="G127" s="42">
        <f>-G126*Assumptions!$P$60</f>
        <v>0</v>
      </c>
      <c r="H127" s="42">
        <f>-H126*Assumptions!$P$60</f>
        <v>0</v>
      </c>
      <c r="I127" s="42">
        <f>-I126*Assumptions!$P$60</f>
        <v>-55826.123447755017</v>
      </c>
      <c r="J127" s="42">
        <f>-J126*Assumptions!$P$60</f>
        <v>-113885.29183342024</v>
      </c>
      <c r="K127" s="42">
        <f>-K126*Assumptions!$P$60</f>
        <v>-116162.99767008865</v>
      </c>
      <c r="L127" s="42">
        <f>-L126*Assumptions!$P$60</f>
        <v>-118486.25762349041</v>
      </c>
      <c r="M127" s="42">
        <f>-M126*Assumptions!$P$60</f>
        <v>-120855.98277596022</v>
      </c>
      <c r="N127" s="42">
        <f>-N126*Assumptions!$P$60</f>
        <v>-123273.10243147945</v>
      </c>
      <c r="O127" s="42">
        <f>-O126*Assumptions!$P$60</f>
        <v>-125738.56448010902</v>
      </c>
      <c r="P127" s="42">
        <f>-P126*Assumptions!$P$60</f>
        <v>-128253.33576971121</v>
      </c>
      <c r="Q127" s="42">
        <f>-Q126*Assumptions!$P$60</f>
        <v>-130818.40248510544</v>
      </c>
      <c r="R127" s="42">
        <f>-R126*Assumptions!$P$60</f>
        <v>-133434.77053480755</v>
      </c>
      <c r="S127" s="42">
        <f>-S126*Assumptions!$P$60</f>
        <v>-136103.46594550367</v>
      </c>
      <c r="T127" s="42">
        <f>-T126*Assumptions!$P$60</f>
        <v>-138825.53526441377</v>
      </c>
      <c r="U127" s="42">
        <f>-U126*Assumptions!$P$60</f>
        <v>-141602.04596970204</v>
      </c>
      <c r="V127" s="42">
        <f>-V126*Assumptions!$P$60</f>
        <v>-144434.0868890961</v>
      </c>
      <c r="W127" s="42">
        <f>-W126*Assumptions!$P$60</f>
        <v>-147322.76862687801</v>
      </c>
      <c r="X127" s="42">
        <f>-X126*Assumptions!$P$60</f>
        <v>-150269.22399941561</v>
      </c>
      <c r="Y127" s="42">
        <f>-Y126*Assumptions!$P$60</f>
        <v>-153274.60847940389</v>
      </c>
      <c r="Z127" s="42">
        <f>-Z126*Assumptions!$P$60</f>
        <v>-156340.100648992</v>
      </c>
    </row>
    <row r="128" spans="2:26" x14ac:dyDescent="0.35">
      <c r="B128" s="137" t="s">
        <v>256</v>
      </c>
      <c r="C128" s="137"/>
      <c r="D128" s="137"/>
      <c r="E128" s="137"/>
      <c r="F128" s="129">
        <f t="shared" ref="F128:Z128" si="46">+SUM(F126:F127)</f>
        <v>0</v>
      </c>
      <c r="G128" s="129">
        <f t="shared" si="46"/>
        <v>0</v>
      </c>
      <c r="H128" s="129">
        <f t="shared" si="46"/>
        <v>0</v>
      </c>
      <c r="I128" s="129">
        <f t="shared" si="46"/>
        <v>502435.11102979514</v>
      </c>
      <c r="J128" s="129">
        <f t="shared" si="46"/>
        <v>1024967.6265007821</v>
      </c>
      <c r="K128" s="129">
        <f t="shared" si="46"/>
        <v>1045466.9790307977</v>
      </c>
      <c r="L128" s="129">
        <f t="shared" si="46"/>
        <v>1066376.3186114137</v>
      </c>
      <c r="M128" s="129">
        <f t="shared" si="46"/>
        <v>1087703.844983642</v>
      </c>
      <c r="N128" s="129">
        <f t="shared" si="46"/>
        <v>1109457.9218833151</v>
      </c>
      <c r="O128" s="129">
        <f t="shared" si="46"/>
        <v>1131647.0803209813</v>
      </c>
      <c r="P128" s="129">
        <f t="shared" si="46"/>
        <v>1154280.0219274007</v>
      </c>
      <c r="Q128" s="129">
        <f t="shared" si="46"/>
        <v>1177365.622365949</v>
      </c>
      <c r="R128" s="129">
        <f t="shared" si="46"/>
        <v>1200912.9348132678</v>
      </c>
      <c r="S128" s="129">
        <f t="shared" si="46"/>
        <v>1224931.1935095331</v>
      </c>
      <c r="T128" s="129">
        <f t="shared" si="46"/>
        <v>1249429.8173797238</v>
      </c>
      <c r="U128" s="129">
        <f t="shared" si="46"/>
        <v>1274418.4137273184</v>
      </c>
      <c r="V128" s="129">
        <f t="shared" si="46"/>
        <v>1299906.7820018649</v>
      </c>
      <c r="W128" s="129">
        <f t="shared" si="46"/>
        <v>1325904.9176419021</v>
      </c>
      <c r="X128" s="129">
        <f t="shared" si="46"/>
        <v>1352423.0159947404</v>
      </c>
      <c r="Y128" s="129">
        <f t="shared" si="46"/>
        <v>1379471.476314635</v>
      </c>
      <c r="Z128" s="129">
        <f t="shared" si="46"/>
        <v>1407060.905840928</v>
      </c>
    </row>
    <row r="130" spans="2:26" x14ac:dyDescent="0.35">
      <c r="B130" s="33" t="s">
        <v>395</v>
      </c>
      <c r="F130" s="34">
        <f>+F119*Assumptions!$P$97*'Phase III Pro Forma'!F124</f>
        <v>0</v>
      </c>
      <c r="G130" s="34">
        <f>+G119*Assumptions!$P$97*'Phase III Pro Forma'!G124</f>
        <v>0</v>
      </c>
      <c r="H130" s="34">
        <f>+H119*Assumptions!$P$97*'Phase III Pro Forma'!H124</f>
        <v>0</v>
      </c>
      <c r="I130" s="34">
        <f>+I119*Assumptions!$P$97*'Phase III Pro Forma'!I124</f>
        <v>177420.42703504802</v>
      </c>
      <c r="J130" s="34">
        <f>+J119*Assumptions!$P$97*'Phase III Pro Forma'!J124</f>
        <v>365486.07969219895</v>
      </c>
      <c r="K130" s="34">
        <f>+K119*Assumptions!$P$97*'Phase III Pro Forma'!K124</f>
        <v>376450.6620829649</v>
      </c>
      <c r="L130" s="34">
        <f>+L119*Assumptions!$P$97*'Phase III Pro Forma'!L124</f>
        <v>387744.18194545386</v>
      </c>
      <c r="M130" s="34">
        <f>+M119*Assumptions!$P$97*'Phase III Pro Forma'!M124</f>
        <v>399376.50740381755</v>
      </c>
      <c r="N130" s="34">
        <f>+N119*Assumptions!$P$97*'Phase III Pro Forma'!N124</f>
        <v>411357.80262593209</v>
      </c>
      <c r="O130" s="34">
        <f>+O119*Assumptions!$P$97*'Phase III Pro Forma'!O124</f>
        <v>423698.53670471004</v>
      </c>
      <c r="P130" s="34">
        <f>+P119*Assumptions!$P$97*'Phase III Pro Forma'!P124</f>
        <v>436409.49280585133</v>
      </c>
      <c r="Q130" s="34">
        <f>+Q119*Assumptions!$P$97*'Phase III Pro Forma'!Q124</f>
        <v>449501.7775900269</v>
      </c>
      <c r="R130" s="34">
        <f>+R119*Assumptions!$P$97*'Phase III Pro Forma'!R124</f>
        <v>462986.83091772773</v>
      </c>
      <c r="S130" s="34">
        <f>+S119*Assumptions!$P$97*'Phase III Pro Forma'!S124</f>
        <v>476876.43584525958</v>
      </c>
      <c r="T130" s="34">
        <f>+T119*Assumptions!$P$97*'Phase III Pro Forma'!T124</f>
        <v>491182.72892061743</v>
      </c>
      <c r="U130" s="34">
        <f>+U119*Assumptions!$P$97*'Phase III Pro Forma'!U124</f>
        <v>505918.21078823594</v>
      </c>
      <c r="V130" s="34">
        <f>+V119*Assumptions!$P$97*'Phase III Pro Forma'!V124</f>
        <v>521095.75711188308</v>
      </c>
      <c r="W130" s="34">
        <f>+W119*Assumptions!$P$97*'Phase III Pro Forma'!W124</f>
        <v>536728.62982523954</v>
      </c>
      <c r="X130" s="34">
        <f>+X119*Assumptions!$P$97*'Phase III Pro Forma'!X124</f>
        <v>552830.48871999676</v>
      </c>
      <c r="Y130" s="34">
        <f>+Y119*Assumptions!$P$97*'Phase III Pro Forma'!Y124</f>
        <v>569415.40338159667</v>
      </c>
      <c r="Z130" s="34">
        <f>+Z119*Assumptions!$P$97*'Phase III Pro Forma'!Z124</f>
        <v>586497.86548304465</v>
      </c>
    </row>
    <row r="131" spans="2:26" x14ac:dyDescent="0.35">
      <c r="B131" s="33" t="s">
        <v>331</v>
      </c>
      <c r="F131" s="151">
        <f ca="1">+IFERROR(INDEX('Taxes and TIF'!$AR$11:$AR$45,MATCH('Phase III Pro Forma'!F$7,'Taxes and TIF'!$AG$11:$AG$45,0)),0)*'Loan Sizing'!$M$20*F121</f>
        <v>0</v>
      </c>
      <c r="G131" s="151">
        <f ca="1">+IFERROR(INDEX('Taxes and TIF'!$AR$11:$AR$45,MATCH('Phase III Pro Forma'!G$7,'Taxes and TIF'!$AG$11:$AG$45,0)),0)*'Loan Sizing'!$M$20*G121</f>
        <v>0</v>
      </c>
      <c r="H131" s="151">
        <f ca="1">+IFERROR(INDEX('Taxes and TIF'!$AR$11:$AR$45,MATCH('Phase III Pro Forma'!H$7,'Taxes and TIF'!$AG$11:$AG$45,0)),0)*'Loan Sizing'!$M$20*H121</f>
        <v>0</v>
      </c>
      <c r="I131" s="151">
        <f ca="1">+IFERROR(INDEX('Taxes and TIF'!$AR$11:$AR$45,MATCH('Phase III Pro Forma'!I$7,'Taxes and TIF'!$AG$11:$AG$45,0)),0)*'Loan Sizing'!$M$20*I121</f>
        <v>78641.124715931146</v>
      </c>
      <c r="J131" s="151">
        <f ca="1">+IFERROR(INDEX('Taxes and TIF'!$AR$11:$AR$45,MATCH('Phase III Pro Forma'!J$7,'Taxes and TIF'!$AG$11:$AG$45,0)),0)*'Loan Sizing'!$M$20*J121</f>
        <v>160427.89442049956</v>
      </c>
      <c r="K131" s="151">
        <f ca="1">+IFERROR(INDEX('Taxes and TIF'!$AR$11:$AR$45,MATCH('Phase III Pro Forma'!K$7,'Taxes and TIF'!$AG$11:$AG$45,0)),0)*'Loan Sizing'!$M$20*K121</f>
        <v>160427.89442049956</v>
      </c>
      <c r="L131" s="151">
        <f ca="1">+IFERROR(INDEX('Taxes and TIF'!$AR$11:$AR$45,MATCH('Phase III Pro Forma'!L$7,'Taxes and TIF'!$AG$11:$AG$45,0)),0)*'Loan Sizing'!$M$20*L121</f>
        <v>160427.89442049956</v>
      </c>
      <c r="M131" s="151">
        <f ca="1">+IFERROR(INDEX('Taxes and TIF'!$AR$11:$AR$45,MATCH('Phase III Pro Forma'!M$7,'Taxes and TIF'!$AG$11:$AG$45,0)),0)*'Loan Sizing'!$M$20*M121</f>
        <v>163636.45230890953</v>
      </c>
      <c r="N131" s="151">
        <f ca="1">+IFERROR(INDEX('Taxes and TIF'!$AR$11:$AR$45,MATCH('Phase III Pro Forma'!N$7,'Taxes and TIF'!$AG$11:$AG$45,0)),0)*'Loan Sizing'!$M$20*N121</f>
        <v>163636.45230890953</v>
      </c>
      <c r="O131" s="151">
        <f ca="1">+IFERROR(INDEX('Taxes and TIF'!$AR$11:$AR$45,MATCH('Phase III Pro Forma'!O$7,'Taxes and TIF'!$AG$11:$AG$45,0)),0)*'Loan Sizing'!$M$20*O121</f>
        <v>163636.45230890953</v>
      </c>
      <c r="P131" s="151">
        <f ca="1">+IFERROR(INDEX('Taxes and TIF'!$AR$11:$AR$45,MATCH('Phase III Pro Forma'!P$7,'Taxes and TIF'!$AG$11:$AG$45,0)),0)*'Loan Sizing'!$M$20*P121</f>
        <v>166909.18135508776</v>
      </c>
      <c r="Q131" s="151">
        <f ca="1">+IFERROR(INDEX('Taxes and TIF'!$AR$11:$AR$45,MATCH('Phase III Pro Forma'!Q$7,'Taxes and TIF'!$AG$11:$AG$45,0)),0)*'Loan Sizing'!$M$20*Q121</f>
        <v>166909.18135508776</v>
      </c>
      <c r="R131" s="151">
        <f ca="1">+IFERROR(INDEX('Taxes and TIF'!$AR$11:$AR$45,MATCH('Phase III Pro Forma'!R$7,'Taxes and TIF'!$AG$11:$AG$45,0)),0)*'Loan Sizing'!$M$20*R121</f>
        <v>166909.18135508776</v>
      </c>
      <c r="S131" s="151">
        <f ca="1">+IFERROR(INDEX('Taxes and TIF'!$AR$11:$AR$45,MATCH('Phase III Pro Forma'!S$7,'Taxes and TIF'!$AG$11:$AG$45,0)),0)*'Loan Sizing'!$M$20*S121</f>
        <v>170247.36498218949</v>
      </c>
      <c r="T131" s="151">
        <f ca="1">+IFERROR(INDEX('Taxes and TIF'!$AR$11:$AR$45,MATCH('Phase III Pro Forma'!T$7,'Taxes and TIF'!$AG$11:$AG$45,0)),0)*'Loan Sizing'!$M$20*T121</f>
        <v>170247.36498218949</v>
      </c>
      <c r="U131" s="151">
        <f ca="1">+IFERROR(INDEX('Taxes and TIF'!$AR$11:$AR$45,MATCH('Phase III Pro Forma'!U$7,'Taxes and TIF'!$AG$11:$AG$45,0)),0)*'Loan Sizing'!$M$20*U121</f>
        <v>170247.36498218949</v>
      </c>
      <c r="V131" s="151">
        <f ca="1">+IFERROR(INDEX('Taxes and TIF'!$AR$11:$AR$45,MATCH('Phase III Pro Forma'!V$7,'Taxes and TIF'!$AG$11:$AG$45,0)),0)*'Loan Sizing'!$M$20*V121</f>
        <v>173652.31228183332</v>
      </c>
      <c r="W131" s="151">
        <f ca="1">+IFERROR(INDEX('Taxes and TIF'!$AR$11:$AR$45,MATCH('Phase III Pro Forma'!W$7,'Taxes and TIF'!$AG$11:$AG$45,0)),0)*'Loan Sizing'!$M$20*W121</f>
        <v>173652.31228183332</v>
      </c>
      <c r="X131" s="151">
        <f ca="1">+IFERROR(INDEX('Taxes and TIF'!$AR$11:$AR$45,MATCH('Phase III Pro Forma'!X$7,'Taxes and TIF'!$AG$11:$AG$45,0)),0)*'Loan Sizing'!$M$20*X121</f>
        <v>173652.31228183332</v>
      </c>
      <c r="Y131" s="151">
        <f ca="1">+IFERROR(INDEX('Taxes and TIF'!$AR$11:$AR$45,MATCH('Phase III Pro Forma'!Y$7,'Taxes and TIF'!$AG$11:$AG$45,0)),0)*'Loan Sizing'!$M$20*Y121</f>
        <v>177125.35852746997</v>
      </c>
      <c r="Z131" s="151">
        <f ca="1">+IFERROR(INDEX('Taxes and TIF'!$AR$11:$AR$45,MATCH('Phase III Pro Forma'!Z$7,'Taxes and TIF'!$AG$11:$AG$45,0)),0)*'Loan Sizing'!$M$20*Z121</f>
        <v>177125.35852746997</v>
      </c>
    </row>
    <row r="132" spans="2:26" x14ac:dyDescent="0.35">
      <c r="B132" s="137" t="s">
        <v>252</v>
      </c>
      <c r="C132" s="137"/>
      <c r="D132" s="137"/>
      <c r="E132" s="137"/>
      <c r="F132" s="129">
        <f ca="1">+SUM(F130:F131)</f>
        <v>0</v>
      </c>
      <c r="G132" s="129">
        <f t="shared" ref="G132" ca="1" si="47">+SUM(G130:G131)</f>
        <v>0</v>
      </c>
      <c r="H132" s="129">
        <f t="shared" ref="H132:Z132" ca="1" si="48">+SUM(H130:H131)</f>
        <v>0</v>
      </c>
      <c r="I132" s="129">
        <f t="shared" ca="1" si="48"/>
        <v>256061.55175097915</v>
      </c>
      <c r="J132" s="129">
        <f t="shared" ca="1" si="48"/>
        <v>525913.97411269858</v>
      </c>
      <c r="K132" s="129">
        <f t="shared" ca="1" si="48"/>
        <v>536878.55650346447</v>
      </c>
      <c r="L132" s="129">
        <f t="shared" ca="1" si="48"/>
        <v>548172.07636595343</v>
      </c>
      <c r="M132" s="129">
        <f t="shared" ca="1" si="48"/>
        <v>563012.95971272711</v>
      </c>
      <c r="N132" s="129">
        <f t="shared" ca="1" si="48"/>
        <v>574994.25493484165</v>
      </c>
      <c r="O132" s="129">
        <f t="shared" ca="1" si="48"/>
        <v>587334.9890136196</v>
      </c>
      <c r="P132" s="129">
        <f t="shared" ca="1" si="48"/>
        <v>603318.67416093906</v>
      </c>
      <c r="Q132" s="129">
        <f t="shared" ca="1" si="48"/>
        <v>616410.95894511463</v>
      </c>
      <c r="R132" s="129">
        <f t="shared" ca="1" si="48"/>
        <v>629896.01227281545</v>
      </c>
      <c r="S132" s="129">
        <f t="shared" ca="1" si="48"/>
        <v>647123.80082744907</v>
      </c>
      <c r="T132" s="129">
        <f t="shared" ca="1" si="48"/>
        <v>661430.09390280698</v>
      </c>
      <c r="U132" s="129">
        <f t="shared" ca="1" si="48"/>
        <v>676165.57577042538</v>
      </c>
      <c r="V132" s="129">
        <f t="shared" ca="1" si="48"/>
        <v>694748.0693937164</v>
      </c>
      <c r="W132" s="129">
        <f t="shared" ca="1" si="48"/>
        <v>710380.9421070728</v>
      </c>
      <c r="X132" s="129">
        <f t="shared" ca="1" si="48"/>
        <v>726482.80100183003</v>
      </c>
      <c r="Y132" s="129">
        <f t="shared" ca="1" si="48"/>
        <v>746540.7619090667</v>
      </c>
      <c r="Z132" s="129">
        <f t="shared" ca="1" si="48"/>
        <v>763623.22401051456</v>
      </c>
    </row>
    <row r="133" spans="2:26" x14ac:dyDescent="0.35">
      <c r="B133" s="33"/>
    </row>
    <row r="134" spans="2:26" x14ac:dyDescent="0.35">
      <c r="B134" s="138" t="s">
        <v>251</v>
      </c>
      <c r="C134" s="138"/>
      <c r="D134" s="138"/>
      <c r="E134" s="138"/>
      <c r="F134" s="139">
        <f ca="1">+F128-F132</f>
        <v>0</v>
      </c>
      <c r="G134" s="139">
        <f t="shared" ref="G134:Z134" ca="1" si="49">+G128-G132</f>
        <v>0</v>
      </c>
      <c r="H134" s="139">
        <f t="shared" ca="1" si="49"/>
        <v>0</v>
      </c>
      <c r="I134" s="139">
        <f t="shared" ca="1" si="49"/>
        <v>246373.55927881598</v>
      </c>
      <c r="J134" s="139">
        <f t="shared" ca="1" si="49"/>
        <v>499053.65238808352</v>
      </c>
      <c r="K134" s="139">
        <f t="shared" ca="1" si="49"/>
        <v>508588.42252733326</v>
      </c>
      <c r="L134" s="139">
        <f t="shared" ca="1" si="49"/>
        <v>518204.24224546028</v>
      </c>
      <c r="M134" s="139">
        <f t="shared" ca="1" si="49"/>
        <v>524690.88527091488</v>
      </c>
      <c r="N134" s="139">
        <f t="shared" ca="1" si="49"/>
        <v>534463.66694847343</v>
      </c>
      <c r="O134" s="139">
        <f t="shared" ca="1" si="49"/>
        <v>544312.09130736173</v>
      </c>
      <c r="P134" s="139">
        <f t="shared" ca="1" si="49"/>
        <v>550961.34776646167</v>
      </c>
      <c r="Q134" s="139">
        <f t="shared" ca="1" si="49"/>
        <v>560954.66342083435</v>
      </c>
      <c r="R134" s="139">
        <f t="shared" ca="1" si="49"/>
        <v>571016.92254045233</v>
      </c>
      <c r="S134" s="139">
        <f t="shared" ca="1" si="49"/>
        <v>577807.392682084</v>
      </c>
      <c r="T134" s="139">
        <f t="shared" ca="1" si="49"/>
        <v>587999.72347691678</v>
      </c>
      <c r="U134" s="139">
        <f t="shared" ca="1" si="49"/>
        <v>598252.83795689302</v>
      </c>
      <c r="V134" s="139">
        <f t="shared" ca="1" si="49"/>
        <v>605158.71260814846</v>
      </c>
      <c r="W134" s="139">
        <f t="shared" ca="1" si="49"/>
        <v>615523.97553482931</v>
      </c>
      <c r="X134" s="139">
        <f t="shared" ca="1" si="49"/>
        <v>625940.21499291039</v>
      </c>
      <c r="Y134" s="139">
        <f t="shared" ca="1" si="49"/>
        <v>632930.71440556832</v>
      </c>
      <c r="Z134" s="139">
        <f t="shared" ca="1" si="49"/>
        <v>643437.68183041341</v>
      </c>
    </row>
    <row r="135" spans="2:26" x14ac:dyDescent="0.35">
      <c r="B135" s="143" t="s">
        <v>257</v>
      </c>
      <c r="C135" s="141"/>
      <c r="D135" s="141"/>
      <c r="E135" s="141"/>
      <c r="F135" s="144" t="str">
        <f ca="1">+IFERROR(F134/F128,"")</f>
        <v/>
      </c>
      <c r="G135" s="144" t="str">
        <f t="shared" ref="G135:Z135" ca="1" si="50">+IFERROR(G134/G128,"")</f>
        <v/>
      </c>
      <c r="H135" s="144" t="str">
        <f t="shared" ca="1" si="50"/>
        <v/>
      </c>
      <c r="I135" s="145">
        <f t="shared" ca="1" si="50"/>
        <v>0.49035896152608982</v>
      </c>
      <c r="J135" s="145">
        <f t="shared" ca="1" si="50"/>
        <v>0.48689699019259974</v>
      </c>
      <c r="K135" s="145">
        <f t="shared" ca="1" si="50"/>
        <v>0.48647009683540765</v>
      </c>
      <c r="L135" s="145">
        <f t="shared" ca="1" si="50"/>
        <v>0.48594875298829032</v>
      </c>
      <c r="M135" s="145">
        <f t="shared" ca="1" si="50"/>
        <v>0.48238395744459811</v>
      </c>
      <c r="N135" s="145">
        <f t="shared" ca="1" si="50"/>
        <v>0.48173405805351899</v>
      </c>
      <c r="O135" s="145">
        <f t="shared" ca="1" si="50"/>
        <v>0.48099102694894291</v>
      </c>
      <c r="P135" s="145">
        <f t="shared" ca="1" si="50"/>
        <v>0.47732035320725213</v>
      </c>
      <c r="Q135" s="145">
        <f t="shared" ca="1" si="50"/>
        <v>0.47644899151512538</v>
      </c>
      <c r="R135" s="145">
        <f t="shared" ca="1" si="50"/>
        <v>0.47548569591286882</v>
      </c>
      <c r="S135" s="145">
        <f t="shared" ca="1" si="50"/>
        <v>0.47170599927871554</v>
      </c>
      <c r="T135" s="145">
        <f t="shared" ca="1" si="50"/>
        <v>0.47061444772468825</v>
      </c>
      <c r="U135" s="145">
        <f t="shared" ca="1" si="50"/>
        <v>0.46943204171632325</v>
      </c>
      <c r="V135" s="145">
        <f t="shared" ca="1" si="50"/>
        <v>0.46554008409449188</v>
      </c>
      <c r="W135" s="145">
        <f t="shared" ca="1" si="50"/>
        <v>0.46422934808140509</v>
      </c>
      <c r="X135" s="145">
        <f t="shared" ca="1" si="50"/>
        <v>0.4628287211841895</v>
      </c>
      <c r="Y135" s="145">
        <f t="shared" ca="1" si="50"/>
        <v>0.45882116830461167</v>
      </c>
      <c r="Z135" s="145">
        <f t="shared" ca="1" si="50"/>
        <v>0.45729199010462435</v>
      </c>
    </row>
    <row r="136" spans="2:26" x14ac:dyDescent="0.35">
      <c r="B136" s="143" t="s">
        <v>191</v>
      </c>
      <c r="C136" s="141"/>
      <c r="D136" s="141"/>
      <c r="E136" s="141"/>
      <c r="F136" s="142">
        <f ca="1">+F134/Assumptions!$P$135</f>
        <v>0</v>
      </c>
      <c r="G136" s="142">
        <f ca="1">+G134/Assumptions!$P$135</f>
        <v>0</v>
      </c>
      <c r="H136" s="142">
        <f ca="1">+H134/Assumptions!$P$135</f>
        <v>0</v>
      </c>
      <c r="I136" s="142">
        <f ca="1">+I134/Assumptions!$P$135</f>
        <v>3790362.4504433228</v>
      </c>
      <c r="J136" s="142">
        <f ca="1">+J134/Assumptions!$P$135</f>
        <v>7677748.4982782081</v>
      </c>
      <c r="K136" s="142">
        <f ca="1">+K134/Assumptions!$P$135</f>
        <v>7824437.2696512807</v>
      </c>
      <c r="L136" s="142">
        <f ca="1">+L134/Assumptions!$P$135</f>
        <v>7972372.9576224657</v>
      </c>
      <c r="M136" s="142">
        <f ca="1">+M134/Assumptions!$P$135</f>
        <v>8072167.4657063829</v>
      </c>
      <c r="N136" s="142">
        <f ca="1">+N134/Assumptions!$P$135</f>
        <v>8222517.9530534372</v>
      </c>
      <c r="O136" s="142">
        <f ca="1">+O134/Assumptions!$P$135</f>
        <v>8374032.1739594107</v>
      </c>
      <c r="P136" s="142">
        <f ca="1">+P134/Assumptions!$P$135</f>
        <v>8476328.4271763321</v>
      </c>
      <c r="Q136" s="142">
        <f ca="1">+Q134/Assumptions!$P$135</f>
        <v>8630071.744935913</v>
      </c>
      <c r="R136" s="142">
        <f ca="1">+R134/Assumptions!$P$135</f>
        <v>8784875.7313915733</v>
      </c>
      <c r="S136" s="142">
        <f ca="1">+S134/Assumptions!$P$135</f>
        <v>8889344.5028012916</v>
      </c>
      <c r="T136" s="142">
        <f ca="1">+T134/Assumptions!$P$135</f>
        <v>9046149.5919525661</v>
      </c>
      <c r="U136" s="142">
        <f ca="1">+U134/Assumptions!$P$135</f>
        <v>9203889.8147214316</v>
      </c>
      <c r="V136" s="142">
        <f ca="1">+V134/Assumptions!$P$135</f>
        <v>9310134.0401253607</v>
      </c>
      <c r="W136" s="142">
        <f ca="1">+W134/Assumptions!$P$135</f>
        <v>9469599.6236127578</v>
      </c>
      <c r="X136" s="142">
        <f ca="1">+X134/Assumptions!$P$135</f>
        <v>9629849.4614293911</v>
      </c>
      <c r="Y136" s="142">
        <f ca="1">+Y134/Assumptions!$P$135</f>
        <v>9737395.6062395126</v>
      </c>
      <c r="Z136" s="142">
        <f ca="1">+Z134/Assumptions!$P$135</f>
        <v>9899041.258929437</v>
      </c>
    </row>
    <row r="138" spans="2:26" x14ac:dyDescent="0.35">
      <c r="B138" s="138" t="s">
        <v>780</v>
      </c>
      <c r="C138" s="138"/>
      <c r="D138" s="138"/>
      <c r="E138" s="138"/>
      <c r="F138" s="139">
        <f t="shared" ref="F138:Z138" ca="1" si="51">+F134+F112+F91+F70+F49+F26</f>
        <v>0</v>
      </c>
      <c r="G138" s="139">
        <f t="shared" ca="1" si="51"/>
        <v>0</v>
      </c>
      <c r="H138" s="139">
        <f t="shared" ca="1" si="51"/>
        <v>0</v>
      </c>
      <c r="I138" s="139">
        <f t="shared" ca="1" si="51"/>
        <v>11161559.888533447</v>
      </c>
      <c r="J138" s="139">
        <f t="shared" ca="1" si="51"/>
        <v>22506312.187976442</v>
      </c>
      <c r="K138" s="139">
        <f t="shared" ca="1" si="51"/>
        <v>22752875.065934889</v>
      </c>
      <c r="L138" s="139">
        <f t="shared" ca="1" si="51"/>
        <v>24578526.875471123</v>
      </c>
      <c r="M138" s="139">
        <f t="shared" ca="1" si="51"/>
        <v>24781412.193075653</v>
      </c>
      <c r="N138" s="139">
        <f t="shared" ca="1" si="51"/>
        <v>25049397.797417622</v>
      </c>
      <c r="O138" s="139">
        <f t="shared" ca="1" si="51"/>
        <v>25324938.034431577</v>
      </c>
      <c r="P138" s="139">
        <f t="shared" ca="1" si="51"/>
        <v>25549338.25486248</v>
      </c>
      <c r="Q138" s="139">
        <f t="shared" ca="1" si="51"/>
        <v>27568151.316594727</v>
      </c>
      <c r="R138" s="139">
        <f t="shared" ca="1" si="51"/>
        <v>27867682.535733871</v>
      </c>
      <c r="S138" s="139">
        <f t="shared" ca="1" si="51"/>
        <v>28115584.960395083</v>
      </c>
      <c r="T138" s="139">
        <f t="shared" ca="1" si="51"/>
        <v>28432281.565821871</v>
      </c>
      <c r="U138" s="139">
        <f t="shared" ca="1" si="51"/>
        <v>28757932.953322574</v>
      </c>
      <c r="V138" s="139">
        <f t="shared" ca="1" si="51"/>
        <v>30929811.93117993</v>
      </c>
      <c r="W138" s="139">
        <f t="shared" ca="1" si="51"/>
        <v>31274153.559437558</v>
      </c>
      <c r="X138" s="139">
        <f t="shared" ca="1" si="51"/>
        <v>31628245.893780448</v>
      </c>
      <c r="Y138" s="139">
        <f t="shared" ca="1" si="51"/>
        <v>31929852.414438207</v>
      </c>
      <c r="Z138" s="139">
        <f t="shared" ca="1" si="51"/>
        <v>32304297.148026269</v>
      </c>
    </row>
    <row r="140" spans="2:26" x14ac:dyDescent="0.35">
      <c r="B140" s="148" t="s">
        <v>31</v>
      </c>
      <c r="F140" s="150">
        <f>+Assumptions!$H$22</f>
        <v>45657</v>
      </c>
      <c r="G140" s="150">
        <f>+EOMONTH(F140,12)</f>
        <v>46022</v>
      </c>
      <c r="H140" s="150">
        <f t="shared" ref="H140:Z140" si="52">+EOMONTH(G140,12)</f>
        <v>46387</v>
      </c>
      <c r="I140" s="150">
        <f t="shared" si="52"/>
        <v>46752</v>
      </c>
      <c r="J140" s="150">
        <f t="shared" si="52"/>
        <v>47118</v>
      </c>
      <c r="K140" s="150">
        <f t="shared" si="52"/>
        <v>47483</v>
      </c>
      <c r="L140" s="150">
        <f t="shared" si="52"/>
        <v>47848</v>
      </c>
      <c r="M140" s="150">
        <f t="shared" si="52"/>
        <v>48213</v>
      </c>
      <c r="N140" s="150">
        <f t="shared" si="52"/>
        <v>48579</v>
      </c>
      <c r="O140" s="150">
        <f t="shared" si="52"/>
        <v>48944</v>
      </c>
      <c r="P140" s="150">
        <f t="shared" si="52"/>
        <v>49309</v>
      </c>
      <c r="Q140" s="150">
        <f t="shared" si="52"/>
        <v>49674</v>
      </c>
      <c r="R140" s="150">
        <f t="shared" si="52"/>
        <v>50040</v>
      </c>
      <c r="S140" s="150">
        <f t="shared" si="52"/>
        <v>50405</v>
      </c>
      <c r="T140" s="150">
        <f t="shared" si="52"/>
        <v>50770</v>
      </c>
      <c r="U140" s="150">
        <f t="shared" si="52"/>
        <v>51135</v>
      </c>
      <c r="V140" s="150">
        <f t="shared" si="52"/>
        <v>51501</v>
      </c>
      <c r="W140" s="150">
        <f t="shared" si="52"/>
        <v>51866</v>
      </c>
      <c r="X140" s="150">
        <f t="shared" si="52"/>
        <v>52231</v>
      </c>
      <c r="Y140" s="150">
        <f t="shared" si="52"/>
        <v>52596</v>
      </c>
      <c r="Z140" s="150">
        <f t="shared" si="52"/>
        <v>52962</v>
      </c>
    </row>
    <row r="141" spans="2:26" x14ac:dyDescent="0.35">
      <c r="B141" s="33" t="s">
        <v>337</v>
      </c>
      <c r="F141" s="34">
        <v>0</v>
      </c>
      <c r="G141" s="34">
        <f t="shared" ref="G141:Z141" ca="1" si="53">+F144</f>
        <v>0</v>
      </c>
      <c r="H141" s="34">
        <f t="shared" ca="1" si="53"/>
        <v>0</v>
      </c>
      <c r="I141" s="34">
        <f t="shared" ca="1" si="53"/>
        <v>0</v>
      </c>
      <c r="J141" s="34">
        <f t="shared" ca="1" si="53"/>
        <v>234946002.99352854</v>
      </c>
      <c r="K141" s="34">
        <f t="shared" ca="1" si="53"/>
        <v>232015193.13536009</v>
      </c>
      <c r="L141" s="34">
        <f t="shared" ca="1" si="53"/>
        <v>228893880.6364105</v>
      </c>
      <c r="M141" s="34">
        <f t="shared" ca="1" si="53"/>
        <v>225569682.82502937</v>
      </c>
      <c r="N141" s="34">
        <f t="shared" ca="1" si="53"/>
        <v>222029412.15590829</v>
      </c>
      <c r="O141" s="34">
        <f t="shared" ca="1" si="53"/>
        <v>218259023.89329451</v>
      </c>
      <c r="P141" s="34">
        <f t="shared" ca="1" si="53"/>
        <v>214243560.39361069</v>
      </c>
      <c r="Q141" s="34">
        <f t="shared" ca="1" si="53"/>
        <v>209967091.76644757</v>
      </c>
      <c r="R141" s="34">
        <f t="shared" ca="1" si="53"/>
        <v>205412652.67851868</v>
      </c>
      <c r="S141" s="34">
        <f t="shared" ca="1" si="53"/>
        <v>200562175.0498746</v>
      </c>
      <c r="T141" s="34">
        <f t="shared" ca="1" si="53"/>
        <v>195396416.37536848</v>
      </c>
      <c r="U141" s="34">
        <f t="shared" ca="1" si="53"/>
        <v>189894883.38701963</v>
      </c>
      <c r="V141" s="34">
        <f t="shared" ca="1" si="53"/>
        <v>184035750.75442791</v>
      </c>
      <c r="W141" s="34">
        <f t="shared" ca="1" si="53"/>
        <v>177795774.50071791</v>
      </c>
      <c r="X141" s="34">
        <f t="shared" ca="1" si="53"/>
        <v>171150199.79051659</v>
      </c>
      <c r="Y141" s="34">
        <f t="shared" ca="1" si="53"/>
        <v>164072662.72415236</v>
      </c>
      <c r="Z141" s="34">
        <f t="shared" ca="1" si="53"/>
        <v>156535085.74847427</v>
      </c>
    </row>
    <row r="142" spans="2:26" x14ac:dyDescent="0.35">
      <c r="B142" s="33" t="s">
        <v>348</v>
      </c>
      <c r="F142" s="151">
        <f>+IF(YEAR(F$140)=YEAR(Assumptions!$H$26),'S&amp;U'!$T$17,0)</f>
        <v>0</v>
      </c>
      <c r="G142" s="151">
        <f>+IF(YEAR(G$140)=YEAR(Assumptions!$H$26),'S&amp;U'!$T$17,0)</f>
        <v>0</v>
      </c>
      <c r="H142" s="151">
        <f>+IF(YEAR(H$140)=YEAR(Assumptions!$H$26),'S&amp;U'!$T$17,0)</f>
        <v>0</v>
      </c>
      <c r="I142" s="151">
        <f ca="1">+IF(YEAR(I$140)=YEAR(Assumptions!$H$26),'S&amp;U'!$T$17,0)</f>
        <v>237697937.13265401</v>
      </c>
      <c r="J142" s="151">
        <f>+IF(YEAR(J$140)=YEAR(Assumptions!$H$26),'S&amp;U'!$T$17,0)</f>
        <v>0</v>
      </c>
      <c r="K142" s="151">
        <f>+IF(YEAR(K$140)=YEAR(Assumptions!$H$26),'S&amp;U'!$T$17,0)</f>
        <v>0</v>
      </c>
      <c r="L142" s="151">
        <f>+IF(YEAR(L$140)=YEAR(Assumptions!$H$26),'S&amp;U'!$T$17,0)</f>
        <v>0</v>
      </c>
      <c r="M142" s="151">
        <f>+IF(YEAR(M$140)=YEAR(Assumptions!$H$26),'S&amp;U'!$T$17,0)</f>
        <v>0</v>
      </c>
      <c r="N142" s="151">
        <f>+IF(YEAR(N$140)=YEAR(Assumptions!$H$26),'S&amp;U'!$T$17,0)</f>
        <v>0</v>
      </c>
      <c r="O142" s="151">
        <f>+IF(YEAR(O$140)=YEAR(Assumptions!$H$26),'S&amp;U'!$T$17,0)</f>
        <v>0</v>
      </c>
      <c r="P142" s="151">
        <f>+IF(YEAR(P$140)=YEAR(Assumptions!$H$26),'S&amp;U'!$T$17,0)</f>
        <v>0</v>
      </c>
      <c r="Q142" s="151">
        <f>+IF(YEAR(Q$140)=YEAR(Assumptions!$H$26),'S&amp;U'!$T$17,0)</f>
        <v>0</v>
      </c>
      <c r="R142" s="151">
        <f>+IF(YEAR(R$140)=YEAR(Assumptions!$H$26),'S&amp;U'!$T$17,0)</f>
        <v>0</v>
      </c>
      <c r="S142" s="151">
        <f>+IF(YEAR(S$140)=YEAR(Assumptions!$H$26),'S&amp;U'!$T$17,0)</f>
        <v>0</v>
      </c>
      <c r="T142" s="151">
        <f>+IF(YEAR(T$140)=YEAR(Assumptions!$H$26),'S&amp;U'!$T$17,0)</f>
        <v>0</v>
      </c>
      <c r="U142" s="151">
        <f>+IF(YEAR(U$140)=YEAR(Assumptions!$H$26),'S&amp;U'!$T$17,0)</f>
        <v>0</v>
      </c>
      <c r="V142" s="151">
        <f>+IF(YEAR(V$140)=YEAR(Assumptions!$H$26),'S&amp;U'!$T$17,0)</f>
        <v>0</v>
      </c>
      <c r="W142" s="151">
        <f>+IF(YEAR(W$140)=YEAR(Assumptions!$H$26),'S&amp;U'!$T$17,0)</f>
        <v>0</v>
      </c>
      <c r="X142" s="151">
        <f>+IF(YEAR(X$140)=YEAR(Assumptions!$H$26),'S&amp;U'!$T$17,0)</f>
        <v>0</v>
      </c>
      <c r="Y142" s="151">
        <f>+IF(YEAR(Y$140)=YEAR(Assumptions!$H$26),'S&amp;U'!$T$17,0)</f>
        <v>0</v>
      </c>
      <c r="Z142" s="151">
        <f>+IF(YEAR(Z$140)=YEAR(Assumptions!$H$26),'S&amp;U'!$T$17,0)</f>
        <v>0</v>
      </c>
    </row>
    <row r="143" spans="2:26" x14ac:dyDescent="0.35">
      <c r="B143" s="33" t="s">
        <v>165</v>
      </c>
      <c r="F143" s="151">
        <f ca="1">+IFERROR(PPMT(Assumptions!$P$151,F2,Assumptions!$P$153,'S&amp;U'!$T$17),0)</f>
        <v>0</v>
      </c>
      <c r="G143" s="151">
        <f ca="1">+IFERROR(PPMT(Assumptions!$P$151,G2,Assumptions!$P$153,'S&amp;U'!$T$17),0)</f>
        <v>0</v>
      </c>
      <c r="H143" s="151">
        <f ca="1">+IFERROR(PPMT(Assumptions!$P$151,H2,Assumptions!$P$153,'S&amp;U'!$T$17),0)</f>
        <v>0</v>
      </c>
      <c r="I143" s="151">
        <f ca="1">+IFERROR(PPMT(Assumptions!$P$151,I2,Assumptions!$P$153,'S&amp;U'!$T$17),0)</f>
        <v>-2751934.1391253876</v>
      </c>
      <c r="J143" s="151">
        <f ca="1">+IFERROR(PPMT(Assumptions!$P$151,J2,Assumptions!$P$153,'S&amp;U'!$T$17),0)</f>
        <v>-2930809.8581685373</v>
      </c>
      <c r="K143" s="151">
        <f ca="1">+IFERROR(PPMT(Assumptions!$P$151,K2,Assumptions!$P$153,'S&amp;U'!$T$17),0)</f>
        <v>-3121312.4989494928</v>
      </c>
      <c r="L143" s="151">
        <f ca="1">+IFERROR(PPMT(Assumptions!$P$151,L2,Assumptions!$P$153,'S&amp;U'!$T$17),0)</f>
        <v>-3324197.8113812096</v>
      </c>
      <c r="M143" s="151">
        <f ca="1">+IFERROR(PPMT(Assumptions!$P$151,M2,Assumptions!$P$153,'S&amp;U'!$T$17),0)</f>
        <v>-3540270.6691209883</v>
      </c>
      <c r="N143" s="151">
        <f ca="1">+IFERROR(PPMT(Assumptions!$P$151,N2,Assumptions!$P$153,'S&amp;U'!$T$17),0)</f>
        <v>-3770388.2626138525</v>
      </c>
      <c r="O143" s="151">
        <f ca="1">+IFERROR(PPMT(Assumptions!$P$151,O2,Assumptions!$P$153,'S&amp;U'!$T$17),0)</f>
        <v>-4015463.4996837522</v>
      </c>
      <c r="P143" s="151">
        <f ca="1">+IFERROR(PPMT(Assumptions!$P$151,P2,Assumptions!$P$153,'S&amp;U'!$T$17),0)</f>
        <v>-4276468.627163196</v>
      </c>
      <c r="Q143" s="151">
        <f ca="1">+IFERROR(PPMT(Assumptions!$P$151,Q2,Assumptions!$P$153,'S&amp;U'!$T$17),0)</f>
        <v>-4554439.0879288046</v>
      </c>
      <c r="R143" s="151">
        <f ca="1">+IFERROR(PPMT(Assumptions!$P$151,R2,Assumptions!$P$153,'S&amp;U'!$T$17),0)</f>
        <v>-4850477.6286441768</v>
      </c>
      <c r="S143" s="151">
        <f ca="1">+IFERROR(PPMT(Assumptions!$P$151,S2,Assumptions!$P$153,'S&amp;U'!$T$17),0)</f>
        <v>-5165758.6745060496</v>
      </c>
      <c r="T143" s="151">
        <f ca="1">+IFERROR(PPMT(Assumptions!$P$151,T2,Assumptions!$P$153,'S&amp;U'!$T$17),0)</f>
        <v>-5501532.9883489423</v>
      </c>
      <c r="U143" s="151">
        <f ca="1">+IFERROR(PPMT(Assumptions!$P$151,U2,Assumptions!$P$153,'S&amp;U'!$T$17),0)</f>
        <v>-5859132.6325916238</v>
      </c>
      <c r="V143" s="151">
        <f ca="1">+IFERROR(PPMT(Assumptions!$P$151,V2,Assumptions!$P$153,'S&amp;U'!$T$17),0)</f>
        <v>-6239976.253710079</v>
      </c>
      <c r="W143" s="151">
        <f ca="1">+IFERROR(PPMT(Assumptions!$P$151,W2,Assumptions!$P$153,'S&amp;U'!$T$17),0)</f>
        <v>-6645574.7102012336</v>
      </c>
      <c r="X143" s="151">
        <f ca="1">+IFERROR(PPMT(Assumptions!$P$151,X2,Assumptions!$P$153,'S&amp;U'!$T$17),0)</f>
        <v>-7077537.0663643135</v>
      </c>
      <c r="Y143" s="151">
        <f ca="1">+IFERROR(PPMT(Assumptions!$P$151,Y2,Assumptions!$P$153,'S&amp;U'!$T$17),0)</f>
        <v>-7537576.9756779941</v>
      </c>
      <c r="Z143" s="151">
        <f ca="1">+IFERROR(PPMT(Assumptions!$P$151,Z2,Assumptions!$P$153,'S&amp;U'!$T$17),0)</f>
        <v>-8027519.4790970646</v>
      </c>
    </row>
    <row r="144" spans="2:26" x14ac:dyDescent="0.35">
      <c r="B144" s="33" t="s">
        <v>339</v>
      </c>
      <c r="F144" s="151">
        <f t="shared" ref="F144:N144" ca="1" si="54">+SUM(F141:F143)</f>
        <v>0</v>
      </c>
      <c r="G144" s="151">
        <f t="shared" ca="1" si="54"/>
        <v>0</v>
      </c>
      <c r="H144" s="151">
        <f t="shared" ca="1" si="54"/>
        <v>0</v>
      </c>
      <c r="I144" s="151">
        <f t="shared" ca="1" si="54"/>
        <v>234946002.99352863</v>
      </c>
      <c r="J144" s="151">
        <f t="shared" ca="1" si="54"/>
        <v>232015193.13536</v>
      </c>
      <c r="K144" s="151">
        <f t="shared" ca="1" si="54"/>
        <v>228893880.63641059</v>
      </c>
      <c r="L144" s="151">
        <f t="shared" ca="1" si="54"/>
        <v>225569682.82502928</v>
      </c>
      <c r="M144" s="151">
        <f t="shared" ca="1" si="54"/>
        <v>222029412.15590838</v>
      </c>
      <c r="N144" s="151">
        <f t="shared" ca="1" si="54"/>
        <v>218259023.89329442</v>
      </c>
      <c r="O144" s="151">
        <f t="shared" ref="O144:Z144" ca="1" si="55">+SUM(O141:O143)</f>
        <v>214243560.39361078</v>
      </c>
      <c r="P144" s="151">
        <f t="shared" ca="1" si="55"/>
        <v>209967091.76644748</v>
      </c>
      <c r="Q144" s="151">
        <f t="shared" ca="1" si="55"/>
        <v>205412652.67851877</v>
      </c>
      <c r="R144" s="151">
        <f t="shared" ca="1" si="55"/>
        <v>200562175.04987451</v>
      </c>
      <c r="S144" s="151">
        <f t="shared" ca="1" si="55"/>
        <v>195396416.37536857</v>
      </c>
      <c r="T144" s="151">
        <f t="shared" ca="1" si="55"/>
        <v>189894883.38701954</v>
      </c>
      <c r="U144" s="151">
        <f t="shared" ca="1" si="55"/>
        <v>184035750.754428</v>
      </c>
      <c r="V144" s="151">
        <f t="shared" ca="1" si="55"/>
        <v>177795774.50071782</v>
      </c>
      <c r="W144" s="151">
        <f t="shared" ca="1" si="55"/>
        <v>171150199.79051667</v>
      </c>
      <c r="X144" s="151">
        <f t="shared" ca="1" si="55"/>
        <v>164072662.72415227</v>
      </c>
      <c r="Y144" s="151">
        <f t="shared" ca="1" si="55"/>
        <v>156535085.74847436</v>
      </c>
      <c r="Z144" s="151">
        <f t="shared" ca="1" si="55"/>
        <v>148507566.2693772</v>
      </c>
    </row>
    <row r="146" spans="2:26" x14ac:dyDescent="0.35">
      <c r="B146" s="41" t="s">
        <v>338</v>
      </c>
      <c r="F146" s="34">
        <f ca="1">-IFERROR(IPMT(Assumptions!$P$151,F2,Assumptions!$P$153,'S&amp;U'!$T$17),0)</f>
        <v>0</v>
      </c>
      <c r="G146" s="34">
        <f ca="1">-IFERROR(IPMT(Assumptions!$P$151,G2,Assumptions!$P$153,'S&amp;U'!$T$17),0)</f>
        <v>0</v>
      </c>
      <c r="H146" s="34">
        <f ca="1">-IFERROR(IPMT(Assumptions!$P$151,H2,Assumptions!$P$153,'S&amp;U'!$T$17),0)</f>
        <v>0</v>
      </c>
      <c r="I146" s="34">
        <f ca="1">-IFERROR(IPMT(Assumptions!$P$151,I2,Assumptions!$P$153,'S&amp;U'!$T$17),0)</f>
        <v>15450365.91362251</v>
      </c>
      <c r="J146" s="34">
        <f ca="1">-IFERROR(IPMT(Assumptions!$P$151,J2,Assumptions!$P$153,'S&amp;U'!$T$17),0)</f>
        <v>15271490.194579361</v>
      </c>
      <c r="K146" s="34">
        <f ca="1">-IFERROR(IPMT(Assumptions!$P$151,K2,Assumptions!$P$153,'S&amp;U'!$T$17),0)</f>
        <v>15080987.553798407</v>
      </c>
      <c r="L146" s="34">
        <f ca="1">-IFERROR(IPMT(Assumptions!$P$151,L2,Assumptions!$P$153,'S&amp;U'!$T$17),0)</f>
        <v>14878102.24136669</v>
      </c>
      <c r="M146" s="34">
        <f ca="1">-IFERROR(IPMT(Assumptions!$P$151,M2,Assumptions!$P$153,'S&amp;U'!$T$17),0)</f>
        <v>14662029.38362691</v>
      </c>
      <c r="N146" s="34">
        <f ca="1">-IFERROR(IPMT(Assumptions!$P$151,N2,Assumptions!$P$153,'S&amp;U'!$T$17),0)</f>
        <v>14431911.790134044</v>
      </c>
      <c r="O146" s="34">
        <f ca="1">-IFERROR(IPMT(Assumptions!$P$151,O2,Assumptions!$P$153,'S&amp;U'!$T$17),0)</f>
        <v>14186836.553064145</v>
      </c>
      <c r="P146" s="34">
        <f ca="1">-IFERROR(IPMT(Assumptions!$P$151,P2,Assumptions!$P$153,'S&amp;U'!$T$17),0)</f>
        <v>13925831.4255847</v>
      </c>
      <c r="Q146" s="34">
        <f ca="1">-IFERROR(IPMT(Assumptions!$P$151,Q2,Assumptions!$P$153,'S&amp;U'!$T$17),0)</f>
        <v>13647860.964819092</v>
      </c>
      <c r="R146" s="34">
        <f ca="1">-IFERROR(IPMT(Assumptions!$P$151,R2,Assumptions!$P$153,'S&amp;U'!$T$17),0)</f>
        <v>13351822.42410372</v>
      </c>
      <c r="S146" s="34">
        <f ca="1">-IFERROR(IPMT(Assumptions!$P$151,S2,Assumptions!$P$153,'S&amp;U'!$T$17),0)</f>
        <v>13036541.37824185</v>
      </c>
      <c r="T146" s="34">
        <f ca="1">-IFERROR(IPMT(Assumptions!$P$151,T2,Assumptions!$P$153,'S&amp;U'!$T$17),0)</f>
        <v>12700767.064398956</v>
      </c>
      <c r="U146" s="34">
        <f ca="1">-IFERROR(IPMT(Assumptions!$P$151,U2,Assumptions!$P$153,'S&amp;U'!$T$17),0)</f>
        <v>12343167.420156274</v>
      </c>
      <c r="V146" s="34">
        <f ca="1">-IFERROR(IPMT(Assumptions!$P$151,V2,Assumptions!$P$153,'S&amp;U'!$T$17),0)</f>
        <v>11962323.79903782</v>
      </c>
      <c r="W146" s="34">
        <f ca="1">-IFERROR(IPMT(Assumptions!$P$151,W2,Assumptions!$P$153,'S&amp;U'!$T$17),0)</f>
        <v>11556725.342546664</v>
      </c>
      <c r="X146" s="34">
        <f ca="1">-IFERROR(IPMT(Assumptions!$P$151,X2,Assumptions!$P$153,'S&amp;U'!$T$17),0)</f>
        <v>11124762.986383582</v>
      </c>
      <c r="Y146" s="34">
        <f ca="1">-IFERROR(IPMT(Assumptions!$P$151,Y2,Assumptions!$P$153,'S&amp;U'!$T$17),0)</f>
        <v>10664723.077069901</v>
      </c>
      <c r="Z146" s="34">
        <f ca="1">-IFERROR(IPMT(Assumptions!$P$151,Z2,Assumptions!$P$153,'S&amp;U'!$T$17),0)</f>
        <v>10174780.573650833</v>
      </c>
    </row>
    <row r="147" spans="2:26" x14ac:dyDescent="0.35">
      <c r="B147" s="137" t="s">
        <v>347</v>
      </c>
      <c r="C147" s="137"/>
      <c r="D147" s="137"/>
      <c r="E147" s="137"/>
      <c r="F147" s="129">
        <f t="shared" ref="F147:K147" ca="1" si="56">+F146-F143</f>
        <v>0</v>
      </c>
      <c r="G147" s="129">
        <f t="shared" ca="1" si="56"/>
        <v>0</v>
      </c>
      <c r="H147" s="129">
        <f t="shared" ca="1" si="56"/>
        <v>0</v>
      </c>
      <c r="I147" s="129">
        <f t="shared" ca="1" si="56"/>
        <v>18202300.052747898</v>
      </c>
      <c r="J147" s="129">
        <f t="shared" ca="1" si="56"/>
        <v>18202300.052747898</v>
      </c>
      <c r="K147" s="129">
        <f t="shared" ca="1" si="56"/>
        <v>18202300.052747902</v>
      </c>
      <c r="L147" s="129">
        <f ca="1">+L146-L143</f>
        <v>18202300.052747898</v>
      </c>
      <c r="M147" s="129">
        <f t="shared" ref="M147:Z147" ca="1" si="57">+M146-M143</f>
        <v>18202300.052747898</v>
      </c>
      <c r="N147" s="129">
        <f t="shared" ca="1" si="57"/>
        <v>18202300.052747898</v>
      </c>
      <c r="O147" s="129">
        <f t="shared" ca="1" si="57"/>
        <v>18202300.052747898</v>
      </c>
      <c r="P147" s="129">
        <f t="shared" ca="1" si="57"/>
        <v>18202300.052747898</v>
      </c>
      <c r="Q147" s="129">
        <f t="shared" ca="1" si="57"/>
        <v>18202300.052747898</v>
      </c>
      <c r="R147" s="129">
        <f t="shared" ca="1" si="57"/>
        <v>18202300.052747898</v>
      </c>
      <c r="S147" s="129">
        <f t="shared" ca="1" si="57"/>
        <v>18202300.052747898</v>
      </c>
      <c r="T147" s="129">
        <f t="shared" ca="1" si="57"/>
        <v>18202300.052747898</v>
      </c>
      <c r="U147" s="129">
        <f t="shared" ca="1" si="57"/>
        <v>18202300.052747898</v>
      </c>
      <c r="V147" s="129">
        <f t="shared" ca="1" si="57"/>
        <v>18202300.052747898</v>
      </c>
      <c r="W147" s="129">
        <f t="shared" ca="1" si="57"/>
        <v>18202300.052747898</v>
      </c>
      <c r="X147" s="129">
        <f t="shared" ca="1" si="57"/>
        <v>18202300.052747894</v>
      </c>
      <c r="Y147" s="129">
        <f t="shared" ca="1" si="57"/>
        <v>18202300.052747894</v>
      </c>
      <c r="Z147" s="129">
        <f t="shared" ca="1" si="57"/>
        <v>18202300.052747898</v>
      </c>
    </row>
    <row r="148" spans="2:26" x14ac:dyDescent="0.35">
      <c r="B148" s="146" t="s">
        <v>184</v>
      </c>
      <c r="F148" s="180" t="str">
        <f ca="1">+IFERROR(F138/F147,"")</f>
        <v/>
      </c>
      <c r="G148" s="180" t="str">
        <f t="shared" ref="G148:Z148" ca="1" si="58">+IFERROR(G138/G147,"")</f>
        <v/>
      </c>
      <c r="H148" s="180" t="str">
        <f t="shared" ca="1" si="58"/>
        <v/>
      </c>
      <c r="I148" s="180">
        <f t="shared" ca="1" si="58"/>
        <v>0.61319502789145863</v>
      </c>
      <c r="J148" s="180">
        <f t="shared" ca="1" si="58"/>
        <v>1.2364543009815285</v>
      </c>
      <c r="K148" s="180">
        <f t="shared" ca="1" si="58"/>
        <v>1.2500000000000007</v>
      </c>
      <c r="L148" s="180">
        <f t="shared" ca="1" si="58"/>
        <v>1.3502978636900693</v>
      </c>
      <c r="M148" s="180">
        <f t="shared" ca="1" si="58"/>
        <v>1.3614440000034251</v>
      </c>
      <c r="N148" s="180">
        <f t="shared" ca="1" si="58"/>
        <v>1.37616662316453</v>
      </c>
      <c r="O148" s="180">
        <f t="shared" ca="1" si="58"/>
        <v>1.3913042835819209</v>
      </c>
      <c r="P148" s="180">
        <f t="shared" ca="1" si="58"/>
        <v>1.4036324080376557</v>
      </c>
      <c r="Q148" s="180">
        <f t="shared" ca="1" si="58"/>
        <v>1.5145421862460136</v>
      </c>
      <c r="R148" s="180">
        <f t="shared" ca="1" si="58"/>
        <v>1.5309978659277648</v>
      </c>
      <c r="S148" s="180">
        <f t="shared" ca="1" si="58"/>
        <v>1.5446171571130998</v>
      </c>
      <c r="T148" s="180">
        <f t="shared" ca="1" si="58"/>
        <v>1.5620158707102298</v>
      </c>
      <c r="U148" s="180">
        <f t="shared" ca="1" si="58"/>
        <v>1.5799065431283863</v>
      </c>
      <c r="V148" s="180">
        <f t="shared" ca="1" si="58"/>
        <v>1.6992254737889914</v>
      </c>
      <c r="W148" s="180">
        <f t="shared" ca="1" si="58"/>
        <v>1.7181429527482313</v>
      </c>
      <c r="X148" s="180">
        <f t="shared" ca="1" si="58"/>
        <v>1.7375961170910221</v>
      </c>
      <c r="Y148" s="180">
        <f t="shared" ca="1" si="58"/>
        <v>1.754165809920156</v>
      </c>
      <c r="Z148" s="180">
        <f t="shared" ca="1" si="58"/>
        <v>1.774737096653314</v>
      </c>
    </row>
    <row r="150" spans="2:26" x14ac:dyDescent="0.35">
      <c r="B150" s="41" t="s">
        <v>159</v>
      </c>
      <c r="F150" s="34">
        <f>+F142*Assumptions!$P$152</f>
        <v>0</v>
      </c>
      <c r="G150" s="34">
        <f>+G142*Assumptions!$P$152</f>
        <v>0</v>
      </c>
      <c r="H150" s="34">
        <f>+H142*Assumptions!$P$152</f>
        <v>0</v>
      </c>
      <c r="I150" s="34">
        <f ca="1">+I142*Assumptions!$P$152</f>
        <v>1782734.528494905</v>
      </c>
      <c r="J150" s="34">
        <f>+J142*Assumptions!$P$152</f>
        <v>0</v>
      </c>
      <c r="K150" s="34">
        <f>+K142*Assumptions!$P$152</f>
        <v>0</v>
      </c>
      <c r="L150" s="34">
        <f>+L142*Assumptions!$P$152</f>
        <v>0</v>
      </c>
      <c r="M150" s="34">
        <f>+M142*Assumptions!$P$152</f>
        <v>0</v>
      </c>
      <c r="N150" s="34">
        <f>+N142*Assumptions!$P$152</f>
        <v>0</v>
      </c>
      <c r="O150" s="34">
        <f>+O142*Assumptions!$P$152</f>
        <v>0</v>
      </c>
      <c r="P150" s="34">
        <f>+P142*Assumptions!$P$152</f>
        <v>0</v>
      </c>
      <c r="Q150" s="34">
        <f>+Q142*Assumptions!$P$152</f>
        <v>0</v>
      </c>
      <c r="R150" s="34">
        <f>+R142*Assumptions!$P$152</f>
        <v>0</v>
      </c>
      <c r="S150" s="34">
        <f>+S142*Assumptions!$P$152</f>
        <v>0</v>
      </c>
      <c r="T150" s="34">
        <f>+T142*Assumptions!$P$152</f>
        <v>0</v>
      </c>
      <c r="U150" s="34">
        <f>+U142*Assumptions!$P$152</f>
        <v>0</v>
      </c>
      <c r="V150" s="34">
        <f>+V142*Assumptions!$P$152</f>
        <v>0</v>
      </c>
      <c r="W150" s="34">
        <f>+W142*Assumptions!$P$152</f>
        <v>0</v>
      </c>
      <c r="X150" s="34">
        <f>+X142*Assumptions!$P$152</f>
        <v>0</v>
      </c>
      <c r="Y150" s="34">
        <f>+Y142*Assumptions!$P$152</f>
        <v>0</v>
      </c>
      <c r="Z150" s="34">
        <f>+Z142*Assumptions!$P$152</f>
        <v>0</v>
      </c>
    </row>
    <row r="152" spans="2:26" s="157" customFormat="1" x14ac:dyDescent="0.35">
      <c r="B152" s="137" t="s">
        <v>340</v>
      </c>
      <c r="C152" s="137"/>
      <c r="D152" s="137"/>
      <c r="E152" s="137"/>
      <c r="F152" s="129">
        <f ca="1">+F138-F147-F150</f>
        <v>0</v>
      </c>
      <c r="G152" s="129">
        <f t="shared" ref="G152:Z152" ca="1" si="59">+G138-G147-G150</f>
        <v>0</v>
      </c>
      <c r="H152" s="129">
        <f t="shared" ca="1" si="59"/>
        <v>0</v>
      </c>
      <c r="I152" s="129">
        <f t="shared" ca="1" si="59"/>
        <v>-8823474.6927093565</v>
      </c>
      <c r="J152" s="129">
        <f t="shared" ca="1" si="59"/>
        <v>4304012.1352285445</v>
      </c>
      <c r="K152" s="129">
        <f t="shared" ca="1" si="59"/>
        <v>4550575.0131869875</v>
      </c>
      <c r="L152" s="129">
        <f t="shared" ca="1" si="59"/>
        <v>6376226.8227232248</v>
      </c>
      <c r="M152" s="129">
        <f t="shared" ca="1" si="59"/>
        <v>6579112.1403277554</v>
      </c>
      <c r="N152" s="129">
        <f t="shared" ca="1" si="59"/>
        <v>6847097.7446697243</v>
      </c>
      <c r="O152" s="129">
        <f t="shared" ca="1" si="59"/>
        <v>7122637.9816836789</v>
      </c>
      <c r="P152" s="129">
        <f t="shared" ca="1" si="59"/>
        <v>7347038.2021145821</v>
      </c>
      <c r="Q152" s="129">
        <f t="shared" ca="1" si="59"/>
        <v>9365851.2638468295</v>
      </c>
      <c r="R152" s="129">
        <f t="shared" ca="1" si="59"/>
        <v>9665382.4829859734</v>
      </c>
      <c r="S152" s="129">
        <f t="shared" ca="1" si="59"/>
        <v>9913284.907647185</v>
      </c>
      <c r="T152" s="129">
        <f t="shared" ca="1" si="59"/>
        <v>10229981.513073973</v>
      </c>
      <c r="U152" s="129">
        <f t="shared" ca="1" si="59"/>
        <v>10555632.900574677</v>
      </c>
      <c r="V152" s="129">
        <f t="shared" ca="1" si="59"/>
        <v>12727511.878432032</v>
      </c>
      <c r="W152" s="129">
        <f t="shared" ca="1" si="59"/>
        <v>13071853.50668966</v>
      </c>
      <c r="X152" s="129">
        <f t="shared" ca="1" si="59"/>
        <v>13425945.841032553</v>
      </c>
      <c r="Y152" s="129">
        <f t="shared" ca="1" si="59"/>
        <v>13727552.361690313</v>
      </c>
      <c r="Z152" s="129">
        <f t="shared" ca="1" si="59"/>
        <v>14101997.095278371</v>
      </c>
    </row>
    <row r="154" spans="2:26" x14ac:dyDescent="0.35">
      <c r="B154" s="148" t="s">
        <v>341</v>
      </c>
    </row>
    <row r="155" spans="2:26" x14ac:dyDescent="0.35">
      <c r="B155" s="33" t="s">
        <v>342</v>
      </c>
      <c r="F155" s="34">
        <f>+IF(YEAR(F$140)=YEAR(Assumptions!$H$30),F136+F114+F93+F72+F51+F28,0)</f>
        <v>0</v>
      </c>
      <c r="G155" s="34">
        <f>+IF(YEAR(G$140)=YEAR(Assumptions!$H$30),G136+G114+G93+G72+G51+G28,0)</f>
        <v>0</v>
      </c>
      <c r="H155" s="34">
        <f>+IF(YEAR(H$140)=YEAR(Assumptions!$H$30),H136+H114+H93+H72+H51+H28,0)</f>
        <v>0</v>
      </c>
      <c r="I155" s="34">
        <f>+IF(YEAR(I$140)=YEAR(Assumptions!$H$30),I136+I114+I93+I72+I51+I28,0)</f>
        <v>0</v>
      </c>
      <c r="J155" s="34">
        <f>+IF(YEAR(J$140)=YEAR(Assumptions!$H$30),J136+J114+J93+J72+J51+J28,0)</f>
        <v>0</v>
      </c>
      <c r="K155" s="34">
        <f>+IF(YEAR(K$140)=YEAR(Assumptions!$H$30),K136+K114+K93+K72+K51+K28,0)</f>
        <v>0</v>
      </c>
      <c r="L155" s="34">
        <f ca="1">+IF(YEAR(L$140)=YEAR(Assumptions!$H$30),L136+L114+L93+L72+L51+L28,0)</f>
        <v>398382305.55199927</v>
      </c>
      <c r="M155" s="34">
        <f>+IF(YEAR(M$140)=YEAR(Assumptions!$H$30),M136+M114+M93+M72+M51+M28,0)</f>
        <v>0</v>
      </c>
      <c r="N155" s="34">
        <f>+IF(YEAR(N$140)=YEAR(Assumptions!$H$30),N136+N114+N93+N72+N51+N28,0)</f>
        <v>0</v>
      </c>
      <c r="O155" s="34">
        <f>+IF(YEAR(O$140)=YEAR(Assumptions!$H$30),O136+O114+O93+O72+O51+O28,0)</f>
        <v>0</v>
      </c>
      <c r="P155" s="34">
        <f>+IF(YEAR(P$140)=YEAR(Assumptions!$H$30),P136+P114+P93+P72+P51+P28,0)</f>
        <v>0</v>
      </c>
      <c r="Q155" s="34">
        <f>+IF(YEAR(Q$140)=YEAR(Assumptions!$H$30),Q136+Q114+Q93+Q72+Q51+Q28,0)</f>
        <v>0</v>
      </c>
      <c r="R155" s="34">
        <f>+IF(YEAR(R$140)=YEAR(Assumptions!$H$30),R136+R114+R93+R72+R51+R28,0)</f>
        <v>0</v>
      </c>
      <c r="S155" s="34">
        <f>+IF(YEAR(S$140)=YEAR(Assumptions!$H$30),S136+S114+S93+S72+S51+S28,0)</f>
        <v>0</v>
      </c>
      <c r="T155" s="34">
        <f>+IF(YEAR(T$140)=YEAR(Assumptions!$H$30),T136+T114+T93+T72+T51+T28,0)</f>
        <v>0</v>
      </c>
      <c r="U155" s="34">
        <f>+IF(YEAR(U$140)=YEAR(Assumptions!$H$30),U136+U114+U93+U72+U51+U28,0)</f>
        <v>0</v>
      </c>
      <c r="V155" s="34">
        <f>+IF(YEAR(V$140)=YEAR(Assumptions!$H$30),V136+V114+V93+V72+V51+V28,0)</f>
        <v>0</v>
      </c>
      <c r="W155" s="34">
        <f>+IF(YEAR(W$140)=YEAR(Assumptions!$H$30),W136+W114+W93+W72+W51+W28,0)</f>
        <v>0</v>
      </c>
      <c r="X155" s="34">
        <f>+IF(YEAR(X$140)=YEAR(Assumptions!$H$30),X136+X114+X93+X72+X51+X28,0)</f>
        <v>0</v>
      </c>
      <c r="Y155" s="34">
        <f>+IF(YEAR(Y$140)=YEAR(Assumptions!$H$30),Y136+Y114+Y93+Y72+Y51+Y28,0)</f>
        <v>0</v>
      </c>
      <c r="Z155" s="34">
        <f>+IF(YEAR(Z$140)=YEAR(Assumptions!$H$30),Z136+Z114+Z93+Z72+Z51+Z28,0)</f>
        <v>0</v>
      </c>
    </row>
    <row r="156" spans="2:26" ht="18.5" x14ac:dyDescent="0.35">
      <c r="B156" s="207" t="s">
        <v>375</v>
      </c>
      <c r="C156" s="207"/>
      <c r="D156" s="207"/>
      <c r="E156" s="207"/>
      <c r="F156" s="151">
        <f>+IF(YEAR(F$140)=YEAR(Assumptions!$H$26),('S&amp;U'!$J$23-'S&amp;U'!$T$25),0)</f>
        <v>0</v>
      </c>
      <c r="G156" s="151">
        <f>+IF(YEAR(G$140)=YEAR(Assumptions!$H$26),('S&amp;U'!$J$23-'S&amp;U'!$T$25),0)</f>
        <v>0</v>
      </c>
      <c r="H156" s="151">
        <f>+IF(YEAR(H$140)=YEAR(Assumptions!$H$26),('S&amp;U'!$J$23-'S&amp;U'!$T$25),0)</f>
        <v>0</v>
      </c>
      <c r="I156" s="151">
        <f ca="1">+IF(YEAR(I$140)=YEAR(Assumptions!$H$26),('S&amp;U'!$J$23-'S&amp;U'!$T$25),0)</f>
        <v>46705947.854801953</v>
      </c>
      <c r="J156" s="151">
        <f>+IF(YEAR(J$140)=YEAR(Assumptions!$H$26),('S&amp;U'!$J$23-'S&amp;U'!$T$25),0)</f>
        <v>0</v>
      </c>
      <c r="K156" s="151">
        <f>+IF(YEAR(K$140)=YEAR(Assumptions!$H$26),('S&amp;U'!$J$23-'S&amp;U'!$T$25),0)</f>
        <v>0</v>
      </c>
      <c r="L156" s="151">
        <f>+IF(YEAR(L$140)=YEAR(Assumptions!$H$26),('S&amp;U'!$J$23-'S&amp;U'!$T$25),0)</f>
        <v>0</v>
      </c>
      <c r="M156" s="151">
        <f>+IF(YEAR(M$140)=YEAR(Assumptions!$H$26),('S&amp;U'!$J$23-'S&amp;U'!$T$25),0)</f>
        <v>0</v>
      </c>
      <c r="N156" s="151">
        <f>+IF(YEAR(N$140)=YEAR(Assumptions!$H$26),('S&amp;U'!$J$23-'S&amp;U'!$T$25),0)</f>
        <v>0</v>
      </c>
      <c r="O156" s="151">
        <f>+IF(YEAR(O$140)=YEAR(Assumptions!$H$26),('S&amp;U'!$J$23-'S&amp;U'!$T$25),0)</f>
        <v>0</v>
      </c>
      <c r="P156" s="151">
        <f>+IF(YEAR(P$140)=YEAR(Assumptions!$H$26),('S&amp;U'!$J$23-'S&amp;U'!$T$25),0)</f>
        <v>0</v>
      </c>
      <c r="Q156" s="151">
        <f>+IF(YEAR(Q$140)=YEAR(Assumptions!$H$26),('S&amp;U'!$J$23-'S&amp;U'!$T$25),0)</f>
        <v>0</v>
      </c>
      <c r="R156" s="151">
        <f>+IF(YEAR(R$140)=YEAR(Assumptions!$H$26),('S&amp;U'!$J$23-'S&amp;U'!$T$25),0)</f>
        <v>0</v>
      </c>
      <c r="S156" s="151">
        <f>+IF(YEAR(S$140)=YEAR(Assumptions!$H$26),('S&amp;U'!$J$23-'S&amp;U'!$T$25),0)</f>
        <v>0</v>
      </c>
      <c r="T156" s="151">
        <f>+IF(YEAR(T$140)=YEAR(Assumptions!$H$26),('S&amp;U'!$J$23-'S&amp;U'!$T$25),0)</f>
        <v>0</v>
      </c>
      <c r="U156" s="151">
        <f>+IF(YEAR(U$140)=YEAR(Assumptions!$H$26),('S&amp;U'!$J$23-'S&amp;U'!$T$25),0)</f>
        <v>0</v>
      </c>
      <c r="V156" s="151">
        <f>+IF(YEAR(V$140)=YEAR(Assumptions!$H$26),('S&amp;U'!$J$23-'S&amp;U'!$T$25),0)</f>
        <v>0</v>
      </c>
      <c r="W156" s="151">
        <f>+IF(YEAR(W$140)=YEAR(Assumptions!$H$26),('S&amp;U'!$J$23-'S&amp;U'!$T$25),0)</f>
        <v>0</v>
      </c>
      <c r="X156" s="151">
        <f>+IF(YEAR(X$140)=YEAR(Assumptions!$H$26),('S&amp;U'!$J$23-'S&amp;U'!$T$25),0)</f>
        <v>0</v>
      </c>
      <c r="Y156" s="151">
        <f>+IF(YEAR(Y$140)=YEAR(Assumptions!$H$26),('S&amp;U'!$J$23-'S&amp;U'!$T$25),0)</f>
        <v>0</v>
      </c>
      <c r="Z156" s="151">
        <f>+IF(YEAR(Z$140)=YEAR(Assumptions!$H$26),('S&amp;U'!$J$23-'S&amp;U'!$T$25),0)</f>
        <v>0</v>
      </c>
    </row>
    <row r="157" spans="2:26" x14ac:dyDescent="0.35">
      <c r="B157" s="33" t="s">
        <v>343</v>
      </c>
      <c r="F157" s="151">
        <f>-F155*Assumptions!$P$136</f>
        <v>0</v>
      </c>
      <c r="G157" s="151">
        <f>-G155*Assumptions!$P$136</f>
        <v>0</v>
      </c>
      <c r="H157" s="151">
        <f>-H155*Assumptions!$P$136</f>
        <v>0</v>
      </c>
      <c r="I157" s="151">
        <f>-I155*Assumptions!$P$136</f>
        <v>0</v>
      </c>
      <c r="J157" s="151">
        <f>-J155*Assumptions!$P$136</f>
        <v>0</v>
      </c>
      <c r="K157" s="151">
        <f>-K155*Assumptions!$P$136</f>
        <v>0</v>
      </c>
      <c r="L157" s="151">
        <f ca="1">-L155*Assumptions!$P$136</f>
        <v>-7967646.1110399859</v>
      </c>
      <c r="M157" s="151">
        <f>-M155*Assumptions!$P$136</f>
        <v>0</v>
      </c>
      <c r="N157" s="151">
        <f>-N155*Assumptions!$P$136</f>
        <v>0</v>
      </c>
      <c r="O157" s="151">
        <f>-O155*Assumptions!$P$136</f>
        <v>0</v>
      </c>
      <c r="P157" s="151">
        <f>-P155*Assumptions!$P$136</f>
        <v>0</v>
      </c>
      <c r="Q157" s="151">
        <f>-Q155*Assumptions!$P$136</f>
        <v>0</v>
      </c>
      <c r="R157" s="151">
        <f>-R155*Assumptions!$P$136</f>
        <v>0</v>
      </c>
      <c r="S157" s="151">
        <f>-S155*Assumptions!$P$136</f>
        <v>0</v>
      </c>
      <c r="T157" s="151">
        <f>-T155*Assumptions!$P$136</f>
        <v>0</v>
      </c>
      <c r="U157" s="151">
        <f>-U155*Assumptions!$P$136</f>
        <v>0</v>
      </c>
      <c r="V157" s="151">
        <f>-V155*Assumptions!$P$136</f>
        <v>0</v>
      </c>
      <c r="W157" s="151">
        <f>-W155*Assumptions!$P$136</f>
        <v>0</v>
      </c>
      <c r="X157" s="151">
        <f>-X155*Assumptions!$P$136</f>
        <v>0</v>
      </c>
      <c r="Y157" s="151">
        <f>-Y155*Assumptions!$P$136</f>
        <v>0</v>
      </c>
      <c r="Z157" s="151">
        <f>-Z155*Assumptions!$P$136</f>
        <v>0</v>
      </c>
    </row>
    <row r="158" spans="2:26" x14ac:dyDescent="0.35">
      <c r="B158" s="33" t="s">
        <v>344</v>
      </c>
      <c r="F158" s="151">
        <f>+IF(YEAR(F$140)=YEAR(Assumptions!$H$30),-F144,0)</f>
        <v>0</v>
      </c>
      <c r="G158" s="151">
        <f>+IF(YEAR(G$140)=YEAR(Assumptions!$H$30),-G144,0)</f>
        <v>0</v>
      </c>
      <c r="H158" s="151">
        <f>+IF(YEAR(H$140)=YEAR(Assumptions!$H$30),-H144,0)</f>
        <v>0</v>
      </c>
      <c r="I158" s="151">
        <f>+IF(YEAR(I$140)=YEAR(Assumptions!$H$30),-I144,0)</f>
        <v>0</v>
      </c>
      <c r="J158" s="151">
        <f>+IF(YEAR(J$140)=YEAR(Assumptions!$H$30),-J144,0)</f>
        <v>0</v>
      </c>
      <c r="K158" s="151">
        <f>+IF(YEAR(K$140)=YEAR(Assumptions!$H$30),-K144,0)</f>
        <v>0</v>
      </c>
      <c r="L158" s="151">
        <f ca="1">+IF(YEAR(L$140)=YEAR(Assumptions!$H$30),-L144,0)</f>
        <v>-225569682.82502928</v>
      </c>
      <c r="M158" s="151">
        <f>+IF(YEAR(M$140)=YEAR(Assumptions!$H$30),-M144,0)</f>
        <v>0</v>
      </c>
      <c r="N158" s="151">
        <f>+IF(YEAR(N$140)=YEAR(Assumptions!$H$30),-N144,0)</f>
        <v>0</v>
      </c>
      <c r="O158" s="151">
        <f>+IF(YEAR(O$140)=YEAR(Assumptions!$H$30),-O144,0)</f>
        <v>0</v>
      </c>
      <c r="P158" s="151">
        <f>+IF(YEAR(P$140)=YEAR(Assumptions!$H$30),-P144,0)</f>
        <v>0</v>
      </c>
      <c r="Q158" s="151">
        <f>+IF(YEAR(Q$140)=YEAR(Assumptions!$H$30),-Q144,0)</f>
        <v>0</v>
      </c>
      <c r="R158" s="151">
        <f>+IF(YEAR(R$140)=YEAR(Assumptions!$H$30),-R144,0)</f>
        <v>0</v>
      </c>
      <c r="S158" s="151">
        <f>+IF(YEAR(S$140)=YEAR(Assumptions!$H$30),-S144,0)</f>
        <v>0</v>
      </c>
      <c r="T158" s="151">
        <f>+IF(YEAR(T$140)=YEAR(Assumptions!$H$30),-T144,0)</f>
        <v>0</v>
      </c>
      <c r="U158" s="151">
        <f>+IF(YEAR(U$140)=YEAR(Assumptions!$H$30),-U144,0)</f>
        <v>0</v>
      </c>
      <c r="V158" s="151">
        <f>+IF(YEAR(V$140)=YEAR(Assumptions!$H$30),-V144,0)</f>
        <v>0</v>
      </c>
      <c r="W158" s="151">
        <f>+IF(YEAR(W$140)=YEAR(Assumptions!$H$30),-W144,0)</f>
        <v>0</v>
      </c>
      <c r="X158" s="151">
        <f>+IF(YEAR(X$140)=YEAR(Assumptions!$H$30),-X144,0)</f>
        <v>0</v>
      </c>
      <c r="Y158" s="151">
        <f>+IF(YEAR(Y$140)=YEAR(Assumptions!$H$30),-Y144,0)</f>
        <v>0</v>
      </c>
      <c r="Z158" s="151">
        <f>+IF(YEAR(Z$140)=YEAR(Assumptions!$H$30),-Z144,0)</f>
        <v>0</v>
      </c>
    </row>
    <row r="159" spans="2:26" x14ac:dyDescent="0.35">
      <c r="B159" s="137" t="s">
        <v>345</v>
      </c>
      <c r="C159" s="137"/>
      <c r="D159" s="137"/>
      <c r="E159" s="137"/>
      <c r="F159" s="129">
        <f>+SUM(F155:F158)</f>
        <v>0</v>
      </c>
      <c r="G159" s="129">
        <f t="shared" ref="G159:Z159" si="60">+SUM(G155:G158)</f>
        <v>0</v>
      </c>
      <c r="H159" s="129">
        <f t="shared" si="60"/>
        <v>0</v>
      </c>
      <c r="I159" s="129">
        <f t="shared" ca="1" si="60"/>
        <v>46705947.854801953</v>
      </c>
      <c r="J159" s="129">
        <f t="shared" si="60"/>
        <v>0</v>
      </c>
      <c r="K159" s="129">
        <f t="shared" si="60"/>
        <v>0</v>
      </c>
      <c r="L159" s="129">
        <f t="shared" ca="1" si="60"/>
        <v>164844976.61592999</v>
      </c>
      <c r="M159" s="129">
        <f t="shared" si="60"/>
        <v>0</v>
      </c>
      <c r="N159" s="129">
        <f t="shared" si="60"/>
        <v>0</v>
      </c>
      <c r="O159" s="129">
        <f t="shared" si="60"/>
        <v>0</v>
      </c>
      <c r="P159" s="129">
        <f t="shared" si="60"/>
        <v>0</v>
      </c>
      <c r="Q159" s="129">
        <f t="shared" si="60"/>
        <v>0</v>
      </c>
      <c r="R159" s="129">
        <f t="shared" si="60"/>
        <v>0</v>
      </c>
      <c r="S159" s="129">
        <f t="shared" si="60"/>
        <v>0</v>
      </c>
      <c r="T159" s="129">
        <f t="shared" si="60"/>
        <v>0</v>
      </c>
      <c r="U159" s="129">
        <f t="shared" si="60"/>
        <v>0</v>
      </c>
      <c r="V159" s="129">
        <f t="shared" si="60"/>
        <v>0</v>
      </c>
      <c r="W159" s="129">
        <f t="shared" si="60"/>
        <v>0</v>
      </c>
      <c r="X159" s="129">
        <f t="shared" si="60"/>
        <v>0</v>
      </c>
      <c r="Y159" s="129">
        <f t="shared" si="60"/>
        <v>0</v>
      </c>
      <c r="Z159" s="129">
        <f t="shared" si="60"/>
        <v>0</v>
      </c>
    </row>
    <row r="160" spans="2:26" x14ac:dyDescent="0.35">
      <c r="B160" s="208" t="s">
        <v>781</v>
      </c>
    </row>
    <row r="162" spans="2:26" x14ac:dyDescent="0.35">
      <c r="B162" s="138" t="s">
        <v>346</v>
      </c>
      <c r="C162" s="138"/>
      <c r="D162" s="138"/>
      <c r="E162" s="138"/>
      <c r="F162" s="139">
        <f ca="1">+IF(YEAR(F$140)&lt;=YEAR(Assumptions!$H$30),'Phase III Pro Forma'!F159+'Phase III Pro Forma'!F152,0)</f>
        <v>0</v>
      </c>
      <c r="G162" s="139">
        <f ca="1">+IF(YEAR(G$140)&lt;=YEAR(Assumptions!$H$30),'Phase III Pro Forma'!G159+'Phase III Pro Forma'!G152,0)</f>
        <v>0</v>
      </c>
      <c r="H162" s="139">
        <f ca="1">+IF(YEAR(H$140)&lt;=YEAR(Assumptions!$H$30),'Phase III Pro Forma'!H159+'Phase III Pro Forma'!H152,0)</f>
        <v>0</v>
      </c>
      <c r="I162" s="139">
        <f ca="1">+IF(YEAR(I$140)&lt;=YEAR(Assumptions!$H$30),'Phase III Pro Forma'!I159+'Phase III Pro Forma'!I152,0)</f>
        <v>37882473.162092596</v>
      </c>
      <c r="J162" s="139">
        <f ca="1">+IF(YEAR(J$140)&lt;=YEAR(Assumptions!$H$30),'Phase III Pro Forma'!J159+'Phase III Pro Forma'!J152,0)</f>
        <v>4304012.1352285445</v>
      </c>
      <c r="K162" s="139">
        <f ca="1">+IF(YEAR(K$140)&lt;=YEAR(Assumptions!$H$30),'Phase III Pro Forma'!K159+'Phase III Pro Forma'!K152,0)</f>
        <v>4550575.0131869875</v>
      </c>
      <c r="L162" s="139">
        <f ca="1">+IF(YEAR(L$140)&lt;=YEAR(Assumptions!$H$30),'Phase III Pro Forma'!L159+'Phase III Pro Forma'!L152,0)</f>
        <v>171221203.43865323</v>
      </c>
      <c r="M162" s="139">
        <f>+IF(YEAR(M$140)&lt;=YEAR(Assumptions!$H$30),'Phase III Pro Forma'!M159+'Phase III Pro Forma'!M152,0)</f>
        <v>0</v>
      </c>
      <c r="N162" s="139">
        <f>+IF(YEAR(N$140)&lt;=YEAR(Assumptions!$H$30),'Phase III Pro Forma'!N159+'Phase III Pro Forma'!N152,0)</f>
        <v>0</v>
      </c>
      <c r="O162" s="139">
        <f>+IF(YEAR(O$140)&lt;=YEAR(Assumptions!$H$30),'Phase III Pro Forma'!O159+'Phase III Pro Forma'!O152,0)</f>
        <v>0</v>
      </c>
      <c r="P162" s="139">
        <f>+IF(YEAR(P$140)&lt;=YEAR(Assumptions!$H$30),'Phase III Pro Forma'!P159+'Phase III Pro Forma'!P152,0)</f>
        <v>0</v>
      </c>
      <c r="Q162" s="139">
        <f>+IF(YEAR(Q$140)&lt;=YEAR(Assumptions!$H$30),'Phase III Pro Forma'!Q159+'Phase III Pro Forma'!Q152,0)</f>
        <v>0</v>
      </c>
      <c r="R162" s="139">
        <f>+IF(YEAR(R$140)&lt;=YEAR(Assumptions!$H$30),'Phase III Pro Forma'!R159+'Phase III Pro Forma'!R152,0)</f>
        <v>0</v>
      </c>
      <c r="S162" s="139">
        <f>+IF(YEAR(S$140)&lt;=YEAR(Assumptions!$H$30),'Phase III Pro Forma'!S159+'Phase III Pro Forma'!S152,0)</f>
        <v>0</v>
      </c>
      <c r="T162" s="139">
        <f>+IF(YEAR(T$140)&lt;=YEAR(Assumptions!$H$30),'Phase III Pro Forma'!T159+'Phase III Pro Forma'!T152,0)</f>
        <v>0</v>
      </c>
      <c r="U162" s="139">
        <f>+IF(YEAR(U$140)&lt;=YEAR(Assumptions!$H$30),'Phase III Pro Forma'!U159+'Phase III Pro Forma'!U152,0)</f>
        <v>0</v>
      </c>
      <c r="V162" s="139">
        <f>+IF(YEAR(V$140)&lt;=YEAR(Assumptions!$H$30),'Phase III Pro Forma'!V159+'Phase III Pro Forma'!V152,0)</f>
        <v>0</v>
      </c>
      <c r="W162" s="139">
        <f>+IF(YEAR(W$140)&lt;=YEAR(Assumptions!$H$30),'Phase III Pro Forma'!W159+'Phase III Pro Forma'!W152,0)</f>
        <v>0</v>
      </c>
      <c r="X162" s="139">
        <f>+IF(YEAR(X$140)&lt;=YEAR(Assumptions!$H$30),'Phase III Pro Forma'!X159+'Phase III Pro Forma'!X152,0)</f>
        <v>0</v>
      </c>
      <c r="Y162" s="139">
        <f>+IF(YEAR(Y$140)&lt;=YEAR(Assumptions!$H$30),'Phase III Pro Forma'!Y159+'Phase III Pro Forma'!Y152,0)</f>
        <v>0</v>
      </c>
      <c r="Z162" s="139">
        <f>+IF(YEAR(Z$140)&lt;=YEAR(Assumptions!$H$30),'Phase III Pro Forma'!Z159+'Phase III Pro Forma'!Z152,0)</f>
        <v>0</v>
      </c>
    </row>
    <row r="164" spans="2:26" x14ac:dyDescent="0.35">
      <c r="B164" s="37" t="s">
        <v>778</v>
      </c>
      <c r="C164" s="38"/>
      <c r="D164" s="38"/>
      <c r="E164" s="38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</row>
    <row r="166" spans="2:26" x14ac:dyDescent="0.35">
      <c r="B166" s="148" t="s">
        <v>26</v>
      </c>
      <c r="C166" s="149"/>
      <c r="D166" s="149"/>
      <c r="E166" s="149"/>
      <c r="F166" s="150">
        <f>+Assumptions!$H$22</f>
        <v>45657</v>
      </c>
      <c r="G166" s="150">
        <f>+EOMONTH(F166,12)</f>
        <v>46022</v>
      </c>
      <c r="H166" s="150">
        <f t="shared" ref="H166:Z166" si="61">+EOMONTH(G166,12)</f>
        <v>46387</v>
      </c>
      <c r="I166" s="150">
        <f t="shared" si="61"/>
        <v>46752</v>
      </c>
      <c r="J166" s="150">
        <f t="shared" si="61"/>
        <v>47118</v>
      </c>
      <c r="K166" s="150">
        <f t="shared" si="61"/>
        <v>47483</v>
      </c>
      <c r="L166" s="150">
        <f t="shared" si="61"/>
        <v>47848</v>
      </c>
      <c r="M166" s="150">
        <f t="shared" si="61"/>
        <v>48213</v>
      </c>
      <c r="N166" s="150">
        <f t="shared" si="61"/>
        <v>48579</v>
      </c>
      <c r="O166" s="150">
        <f t="shared" si="61"/>
        <v>48944</v>
      </c>
      <c r="P166" s="150">
        <f t="shared" si="61"/>
        <v>49309</v>
      </c>
      <c r="Q166" s="150">
        <f t="shared" si="61"/>
        <v>49674</v>
      </c>
      <c r="R166" s="150">
        <f t="shared" si="61"/>
        <v>50040</v>
      </c>
      <c r="S166" s="150">
        <f t="shared" si="61"/>
        <v>50405</v>
      </c>
      <c r="T166" s="150">
        <f t="shared" si="61"/>
        <v>50770</v>
      </c>
      <c r="U166" s="150">
        <f t="shared" si="61"/>
        <v>51135</v>
      </c>
      <c r="V166" s="150">
        <f t="shared" si="61"/>
        <v>51501</v>
      </c>
      <c r="W166" s="150">
        <f t="shared" si="61"/>
        <v>51866</v>
      </c>
      <c r="X166" s="150">
        <f t="shared" si="61"/>
        <v>52231</v>
      </c>
      <c r="Y166" s="150">
        <f t="shared" si="61"/>
        <v>52596</v>
      </c>
      <c r="Z166" s="150">
        <f t="shared" si="61"/>
        <v>52962</v>
      </c>
    </row>
    <row r="167" spans="2:26" x14ac:dyDescent="0.35">
      <c r="B167" s="33" t="s">
        <v>767</v>
      </c>
      <c r="C167" s="33"/>
      <c r="D167" s="40"/>
      <c r="E167" s="40"/>
      <c r="F167" s="42">
        <f>+IF(AND(F166&gt;=Assumptions!$H$26,F166&lt;Assumptions!$H$28),Assumptions!$H$93/ROUNDUP((Assumptions!$H$27/12),0),0)</f>
        <v>0</v>
      </c>
      <c r="G167" s="42">
        <f>+IF(AND(G166&gt;=Assumptions!$H$26,G166&lt;Assumptions!$H$28),Assumptions!$H$93/ROUNDUP((Assumptions!$H$27/12),0),0)</f>
        <v>0</v>
      </c>
      <c r="H167" s="42">
        <f>+IF(AND(H166&gt;=Assumptions!$H$26,H166&lt;Assumptions!$H$28),Assumptions!$H$93/ROUNDUP((Assumptions!$H$27/12),0),0)</f>
        <v>0</v>
      </c>
      <c r="I167" s="42">
        <f>+IF(AND(I166&gt;=Assumptions!$H$26,I166&lt;Assumptions!$H$28),Assumptions!$H$93/ROUNDUP((Assumptions!$H$27/12),0),0)</f>
        <v>18.638844444444445</v>
      </c>
      <c r="J167" s="42">
        <f>+IF(AND(J166&gt;=Assumptions!$H$26,J166&lt;Assumptions!$H$28),Assumptions!$H$93/ROUNDUP((Assumptions!$H$27/12),0),0)</f>
        <v>18.638844444444445</v>
      </c>
      <c r="K167" s="42">
        <f>+IF(AND(K166&gt;=Assumptions!$H$26,K166&lt;Assumptions!$H$28),Assumptions!$H$93/ROUNDUP((Assumptions!$H$27/12),0),0)</f>
        <v>0</v>
      </c>
      <c r="L167" s="42">
        <f>+IF(AND(L166&gt;=Assumptions!$H$26,L166&lt;Assumptions!$H$28),Assumptions!$H$93/ROUNDUP((Assumptions!$H$27/12),0),0)</f>
        <v>0</v>
      </c>
      <c r="M167" s="42">
        <f>+IF(AND(M166&gt;=Assumptions!$H$26,M166&lt;Assumptions!$H$28),Assumptions!$H$93/ROUNDUP((Assumptions!$H$27/12),0),0)</f>
        <v>0</v>
      </c>
      <c r="N167" s="42">
        <f>+IF(AND(N166&gt;=Assumptions!$H$26,N166&lt;Assumptions!$H$28),Assumptions!$H$93/ROUNDUP((Assumptions!$H$27/12),0),0)</f>
        <v>0</v>
      </c>
      <c r="O167" s="42">
        <f>+IF(AND(O166&gt;=Assumptions!$H$26,O166&lt;Assumptions!$H$28),Assumptions!$H$93/ROUNDUP((Assumptions!$H$27/12),0),0)</f>
        <v>0</v>
      </c>
      <c r="P167" s="42">
        <f>+IF(AND(P166&gt;=Assumptions!$H$26,P166&lt;Assumptions!$H$28),Assumptions!$H$93/ROUNDUP((Assumptions!$H$27/12),0),0)</f>
        <v>0</v>
      </c>
      <c r="Q167" s="42">
        <f>+IF(AND(Q166&gt;=Assumptions!$H$26,Q166&lt;Assumptions!$H$28),Assumptions!$H$93/ROUNDUP((Assumptions!$H$27/12),0),0)</f>
        <v>0</v>
      </c>
      <c r="R167" s="42">
        <f>+IF(AND(R166&gt;=Assumptions!$H$26,R166&lt;Assumptions!$H$28),Assumptions!$H$93/ROUNDUP((Assumptions!$H$27/12),0),0)</f>
        <v>0</v>
      </c>
      <c r="S167" s="42">
        <f>+IF(AND(S166&gt;=Assumptions!$H$26,S166&lt;Assumptions!$H$28),Assumptions!$H$93/ROUNDUP((Assumptions!$H$27/12),0),0)</f>
        <v>0</v>
      </c>
      <c r="T167" s="42">
        <f>+IF(AND(T166&gt;=Assumptions!$H$26,T166&lt;Assumptions!$H$28),Assumptions!$H$93/ROUNDUP((Assumptions!$H$27/12),0),0)</f>
        <v>0</v>
      </c>
      <c r="U167" s="42">
        <f>+IF(AND(U166&gt;=Assumptions!$H$26,U166&lt;Assumptions!$H$28),Assumptions!$H$93/ROUNDUP((Assumptions!$H$27/12),0),0)</f>
        <v>0</v>
      </c>
      <c r="V167" s="42">
        <f>+IF(AND(V166&gt;=Assumptions!$H$26,V166&lt;Assumptions!$H$28),Assumptions!$H$93/ROUNDUP((Assumptions!$H$27/12),0),0)</f>
        <v>0</v>
      </c>
      <c r="W167" s="42">
        <f>+IF(AND(W166&gt;=Assumptions!$H$26,W166&lt;Assumptions!$H$28),Assumptions!$H$93/ROUNDUP((Assumptions!$H$27/12),0),0)</f>
        <v>0</v>
      </c>
      <c r="X167" s="42">
        <f>+IF(AND(X166&gt;=Assumptions!$H$26,X166&lt;Assumptions!$H$28),Assumptions!$H$93/ROUNDUP((Assumptions!$H$27/12),0),0)</f>
        <v>0</v>
      </c>
      <c r="Y167" s="42">
        <f>+IF(AND(Y166&gt;=Assumptions!$H$26,Y166&lt;Assumptions!$H$28),Assumptions!$H$93/ROUNDUP((Assumptions!$H$27/12),0),0)</f>
        <v>0</v>
      </c>
      <c r="Z167" s="42">
        <f>+IF(AND(Z166&gt;=Assumptions!$H$26,Z166&lt;Assumptions!$H$28),Assumptions!$H$93/ROUNDUP((Assumptions!$H$27/12),0),0)</f>
        <v>0</v>
      </c>
    </row>
    <row r="168" spans="2:26" x14ac:dyDescent="0.35">
      <c r="B168" s="33" t="s">
        <v>311</v>
      </c>
      <c r="C168" s="33"/>
      <c r="D168" s="40"/>
      <c r="E168" s="40"/>
      <c r="F168" s="42">
        <f>+D168+F167</f>
        <v>0</v>
      </c>
      <c r="G168" s="42">
        <f t="shared" ref="G168:Z168" si="62">+F168+G167</f>
        <v>0</v>
      </c>
      <c r="H168" s="42">
        <f t="shared" si="62"/>
        <v>0</v>
      </c>
      <c r="I168" s="42">
        <f t="shared" si="62"/>
        <v>18.638844444444445</v>
      </c>
      <c r="J168" s="42">
        <f t="shared" si="62"/>
        <v>37.277688888888889</v>
      </c>
      <c r="K168" s="42">
        <f t="shared" si="62"/>
        <v>37.277688888888889</v>
      </c>
      <c r="L168" s="42">
        <f t="shared" si="62"/>
        <v>37.277688888888889</v>
      </c>
      <c r="M168" s="42">
        <f t="shared" si="62"/>
        <v>37.277688888888889</v>
      </c>
      <c r="N168" s="42">
        <f t="shared" si="62"/>
        <v>37.277688888888889</v>
      </c>
      <c r="O168" s="42">
        <f t="shared" si="62"/>
        <v>37.277688888888889</v>
      </c>
      <c r="P168" s="42">
        <f t="shared" si="62"/>
        <v>37.277688888888889</v>
      </c>
      <c r="Q168" s="42">
        <f t="shared" si="62"/>
        <v>37.277688888888889</v>
      </c>
      <c r="R168" s="42">
        <f t="shared" si="62"/>
        <v>37.277688888888889</v>
      </c>
      <c r="S168" s="42">
        <f t="shared" si="62"/>
        <v>37.277688888888889</v>
      </c>
      <c r="T168" s="42">
        <f t="shared" si="62"/>
        <v>37.277688888888889</v>
      </c>
      <c r="U168" s="42">
        <f t="shared" si="62"/>
        <v>37.277688888888889</v>
      </c>
      <c r="V168" s="42">
        <f t="shared" si="62"/>
        <v>37.277688888888889</v>
      </c>
      <c r="W168" s="42">
        <f t="shared" si="62"/>
        <v>37.277688888888889</v>
      </c>
      <c r="X168" s="42">
        <f t="shared" si="62"/>
        <v>37.277688888888889</v>
      </c>
      <c r="Y168" s="42">
        <f t="shared" si="62"/>
        <v>37.277688888888889</v>
      </c>
      <c r="Z168" s="42">
        <f t="shared" si="62"/>
        <v>37.277688888888889</v>
      </c>
    </row>
    <row r="169" spans="2:26" x14ac:dyDescent="0.35">
      <c r="B169" s="33" t="s">
        <v>305</v>
      </c>
      <c r="C169" s="33"/>
      <c r="D169" s="42"/>
      <c r="E169" s="42"/>
      <c r="F169" s="108">
        <f t="shared" ref="F169:J169" si="63">+F168/SUM($F167:$Z167)</f>
        <v>0</v>
      </c>
      <c r="G169" s="108">
        <f t="shared" si="63"/>
        <v>0</v>
      </c>
      <c r="H169" s="108">
        <f t="shared" si="63"/>
        <v>0</v>
      </c>
      <c r="I169" s="108">
        <f t="shared" si="63"/>
        <v>0.5</v>
      </c>
      <c r="J169" s="108">
        <f t="shared" si="63"/>
        <v>1</v>
      </c>
      <c r="K169" s="108">
        <f>+K168/SUM($F167:$Z167)</f>
        <v>1</v>
      </c>
      <c r="L169" s="108">
        <f t="shared" ref="L169:Z169" si="64">+L168/SUM($F167:$Z167)</f>
        <v>1</v>
      </c>
      <c r="M169" s="108">
        <f t="shared" si="64"/>
        <v>1</v>
      </c>
      <c r="N169" s="108">
        <f t="shared" si="64"/>
        <v>1</v>
      </c>
      <c r="O169" s="108">
        <f t="shared" si="64"/>
        <v>1</v>
      </c>
      <c r="P169" s="108">
        <f t="shared" si="64"/>
        <v>1</v>
      </c>
      <c r="Q169" s="108">
        <f t="shared" si="64"/>
        <v>1</v>
      </c>
      <c r="R169" s="108">
        <f t="shared" si="64"/>
        <v>1</v>
      </c>
      <c r="S169" s="108">
        <f t="shared" si="64"/>
        <v>1</v>
      </c>
      <c r="T169" s="108">
        <f t="shared" si="64"/>
        <v>1</v>
      </c>
      <c r="U169" s="108">
        <f t="shared" si="64"/>
        <v>1</v>
      </c>
      <c r="V169" s="108">
        <f t="shared" si="64"/>
        <v>1</v>
      </c>
      <c r="W169" s="108">
        <f t="shared" si="64"/>
        <v>1</v>
      </c>
      <c r="X169" s="108">
        <f t="shared" si="64"/>
        <v>1</v>
      </c>
      <c r="Y169" s="108">
        <f t="shared" si="64"/>
        <v>1</v>
      </c>
      <c r="Z169" s="108">
        <f t="shared" si="64"/>
        <v>1</v>
      </c>
    </row>
    <row r="170" spans="2:26" x14ac:dyDescent="0.35">
      <c r="B170" s="33"/>
      <c r="C170" s="33"/>
      <c r="D170" s="42"/>
      <c r="E170" s="42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</row>
    <row r="171" spans="2:26" x14ac:dyDescent="0.35">
      <c r="B171" s="33" t="s">
        <v>308</v>
      </c>
      <c r="F171" s="34">
        <f>+IF(F2=1,Assumptions!$H$118,IF(F2=2,Assumptions!$H$120,IF(F2&gt;2,Assumptions!$H$97,0)))</f>
        <v>0</v>
      </c>
      <c r="G171" s="34">
        <f>+IF(G2=1,Assumptions!$H$118,IF(G2=2,Assumptions!$H$120,IF(G2&gt;2,Assumptions!$H$97,0)))</f>
        <v>0</v>
      </c>
      <c r="H171" s="34">
        <f>+IF(H2=1,Assumptions!$H$118,IF(H2=2,Assumptions!$H$120,IF(H2&gt;2,Assumptions!$H$97,0)))</f>
        <v>0</v>
      </c>
      <c r="I171" s="34">
        <f>+IF(I2=1,Assumptions!$H$118,IF(I2=2,Assumptions!$H$120,IF(I2&gt;2,Assumptions!$H$97,0)))</f>
        <v>150</v>
      </c>
      <c r="J171" s="34">
        <f>+IF(J2=1,Assumptions!$H$118,IF(J2=2,Assumptions!$H$120,IF(J2&gt;2,Assumptions!$H$97,0)))</f>
        <v>155</v>
      </c>
      <c r="K171" s="34">
        <f>+IF(K2=1,Assumptions!$H$118,IF(K2=2,Assumptions!$H$120,IF(K2&gt;2,Assumptions!$H$97,0)))</f>
        <v>160</v>
      </c>
      <c r="L171" s="34">
        <f>+IF(L2=1,Assumptions!$H$118,IF(L2=2,Assumptions!$H$120,IF(L2&gt;2,Assumptions!$H$97,0)))</f>
        <v>160</v>
      </c>
      <c r="M171" s="34">
        <f>+IF(M2=1,Assumptions!$H$118,IF(M2=2,Assumptions!$H$120,IF(M2&gt;2,Assumptions!$H$97,0)))</f>
        <v>160</v>
      </c>
      <c r="N171" s="34">
        <f>+IF(N2=1,Assumptions!$H$118,IF(N2=2,Assumptions!$H$120,IF(N2&gt;2,Assumptions!$H$97,0)))</f>
        <v>160</v>
      </c>
      <c r="O171" s="34">
        <f>+IF(O2=1,Assumptions!$H$118,IF(O2=2,Assumptions!$H$120,IF(O2&gt;2,Assumptions!$H$97,0)))</f>
        <v>160</v>
      </c>
      <c r="P171" s="34">
        <f>+IF(P2=1,Assumptions!$H$118,IF(P2=2,Assumptions!$H$120,IF(P2&gt;2,Assumptions!$H$97,0)))</f>
        <v>160</v>
      </c>
      <c r="Q171" s="34">
        <f>+IF(Q2=1,Assumptions!$H$118,IF(Q2=2,Assumptions!$H$120,IF(Q2&gt;2,Assumptions!$H$97,0)))</f>
        <v>160</v>
      </c>
      <c r="R171" s="34">
        <f>+IF(R2=1,Assumptions!$H$118,IF(R2=2,Assumptions!$H$120,IF(R2&gt;2,Assumptions!$H$97,0)))</f>
        <v>160</v>
      </c>
      <c r="S171" s="34">
        <f>+IF(S2=1,Assumptions!$H$118,IF(S2=2,Assumptions!$H$120,IF(S2&gt;2,Assumptions!$H$97,0)))</f>
        <v>160</v>
      </c>
      <c r="T171" s="34">
        <f>+IF(T2=1,Assumptions!$H$118,IF(T2=2,Assumptions!$H$120,IF(T2&gt;2,Assumptions!$H$97,0)))</f>
        <v>160</v>
      </c>
      <c r="U171" s="34">
        <f>+IF(U2=1,Assumptions!$H$118,IF(U2=2,Assumptions!$H$120,IF(U2&gt;2,Assumptions!$H$97,0)))</f>
        <v>160</v>
      </c>
      <c r="V171" s="34">
        <f>+IF(V2=1,Assumptions!$H$118,IF(V2=2,Assumptions!$H$120,IF(V2&gt;2,Assumptions!$H$97,0)))</f>
        <v>160</v>
      </c>
      <c r="W171" s="34">
        <f>+IF(W2=1,Assumptions!$H$118,IF(W2=2,Assumptions!$H$120,IF(W2&gt;2,Assumptions!$H$97,0)))</f>
        <v>160</v>
      </c>
      <c r="X171" s="34">
        <f>+IF(X2=1,Assumptions!$H$118,IF(X2=2,Assumptions!$H$120,IF(X2&gt;2,Assumptions!$H$97,0)))</f>
        <v>160</v>
      </c>
      <c r="Y171" s="34">
        <f>+IF(Y2=1,Assumptions!$H$118,IF(Y2=2,Assumptions!$H$120,IF(Y2&gt;2,Assumptions!$H$97,0)))</f>
        <v>160</v>
      </c>
      <c r="Z171" s="34">
        <f>+IF(Z2=1,Assumptions!$H$118,IF(Z2=2,Assumptions!$H$120,IF(Z2&gt;2,Assumptions!$H$97,0)))</f>
        <v>160</v>
      </c>
    </row>
    <row r="172" spans="2:26" x14ac:dyDescent="0.35">
      <c r="B172" s="33" t="s">
        <v>315</v>
      </c>
      <c r="C172" s="33"/>
      <c r="D172" s="42"/>
      <c r="E172" s="42"/>
      <c r="F172" s="108">
        <v>1</v>
      </c>
      <c r="G172" s="108">
        <f>+F172*(1+Assumptions!$P$67)</f>
        <v>1.02</v>
      </c>
      <c r="H172" s="108">
        <f>+G172*(1+Assumptions!$P$67)</f>
        <v>1.0404</v>
      </c>
      <c r="I172" s="108">
        <f>+H172*(1+Assumptions!$P$67)</f>
        <v>1.0612079999999999</v>
      </c>
      <c r="J172" s="108">
        <f>+I172*(1+Assumptions!$P$67)</f>
        <v>1.08243216</v>
      </c>
      <c r="K172" s="108">
        <f>+J172*(1+Assumptions!$P$67)</f>
        <v>1.1040808032</v>
      </c>
      <c r="L172" s="108">
        <f>+K172*(1+Assumptions!$P$67)</f>
        <v>1.1261624192640001</v>
      </c>
      <c r="M172" s="108">
        <f>+L172*(1+Assumptions!$P$67)</f>
        <v>1.14868566764928</v>
      </c>
      <c r="N172" s="108">
        <f>+M172*(1+Assumptions!$P$67)</f>
        <v>1.1716593810022657</v>
      </c>
      <c r="O172" s="108">
        <f>+N172*(1+Assumptions!$P$67)</f>
        <v>1.1950925686223111</v>
      </c>
      <c r="P172" s="108">
        <f>+O172*(1+Assumptions!$P$67)</f>
        <v>1.2189944199947573</v>
      </c>
      <c r="Q172" s="108">
        <f>+P172*(1+Assumptions!$P$67)</f>
        <v>1.2433743083946525</v>
      </c>
      <c r="R172" s="108">
        <f>+Q172*(1+Assumptions!$P$67)</f>
        <v>1.2682417945625455</v>
      </c>
      <c r="S172" s="108">
        <f>+R172*(1+Assumptions!$P$67)</f>
        <v>1.2936066304537963</v>
      </c>
      <c r="T172" s="108">
        <f>+S172*(1+Assumptions!$P$67)</f>
        <v>1.3194787630628724</v>
      </c>
      <c r="U172" s="108">
        <f>+T172*(1+Assumptions!$P$67)</f>
        <v>1.3458683383241299</v>
      </c>
      <c r="V172" s="108">
        <f>+U172*(1+Assumptions!$P$67)</f>
        <v>1.3727857050906125</v>
      </c>
      <c r="W172" s="108">
        <f>+V172*(1+Assumptions!$P$67)</f>
        <v>1.4002414191924248</v>
      </c>
      <c r="X172" s="108">
        <f>+W172*(1+Assumptions!$P$67)</f>
        <v>1.4282462475762734</v>
      </c>
      <c r="Y172" s="108">
        <f>+X172*(1+Assumptions!$P$67)</f>
        <v>1.4568111725277988</v>
      </c>
      <c r="Z172" s="108">
        <f>+Y172*(1+Assumptions!$P$67)</f>
        <v>1.4859473959783549</v>
      </c>
    </row>
    <row r="173" spans="2:26" x14ac:dyDescent="0.35">
      <c r="B173" s="33" t="s">
        <v>309</v>
      </c>
      <c r="C173" s="33"/>
      <c r="D173" s="42"/>
      <c r="E173" s="42"/>
      <c r="F173" s="34">
        <f>+F171*F172</f>
        <v>0</v>
      </c>
      <c r="G173" s="34">
        <f t="shared" ref="G173:Z173" si="65">+G171*G172</f>
        <v>0</v>
      </c>
      <c r="H173" s="34">
        <f t="shared" si="65"/>
        <v>0</v>
      </c>
      <c r="I173" s="34">
        <f t="shared" si="65"/>
        <v>159.18119999999999</v>
      </c>
      <c r="J173" s="34">
        <f t="shared" si="65"/>
        <v>167.77698480000001</v>
      </c>
      <c r="K173" s="34">
        <f t="shared" si="65"/>
        <v>176.65292851200002</v>
      </c>
      <c r="L173" s="34">
        <f t="shared" si="65"/>
        <v>180.18598708224002</v>
      </c>
      <c r="M173" s="34">
        <f t="shared" si="65"/>
        <v>183.78970682388481</v>
      </c>
      <c r="N173" s="34">
        <f t="shared" si="65"/>
        <v>187.46550096036253</v>
      </c>
      <c r="O173" s="34">
        <f t="shared" si="65"/>
        <v>191.21481097956976</v>
      </c>
      <c r="P173" s="34">
        <f t="shared" si="65"/>
        <v>195.03910719916118</v>
      </c>
      <c r="Q173" s="34">
        <f t="shared" si="65"/>
        <v>198.93988934314439</v>
      </c>
      <c r="R173" s="34">
        <f t="shared" si="65"/>
        <v>202.91868713000727</v>
      </c>
      <c r="S173" s="34">
        <f t="shared" si="65"/>
        <v>206.97706087260741</v>
      </c>
      <c r="T173" s="34">
        <f t="shared" si="65"/>
        <v>211.11660209005959</v>
      </c>
      <c r="U173" s="34">
        <f t="shared" si="65"/>
        <v>215.33893413186078</v>
      </c>
      <c r="V173" s="34">
        <f t="shared" si="65"/>
        <v>219.64571281449798</v>
      </c>
      <c r="W173" s="34">
        <f t="shared" si="65"/>
        <v>224.03862707078798</v>
      </c>
      <c r="X173" s="34">
        <f t="shared" si="65"/>
        <v>228.51939961220376</v>
      </c>
      <c r="Y173" s="34">
        <f t="shared" si="65"/>
        <v>233.08978760444779</v>
      </c>
      <c r="Z173" s="34">
        <f t="shared" si="65"/>
        <v>237.7515833565368</v>
      </c>
    </row>
    <row r="174" spans="2:26" x14ac:dyDescent="0.35">
      <c r="B174" s="33"/>
    </row>
    <row r="175" spans="2:26" x14ac:dyDescent="0.35">
      <c r="B175" s="33" t="s">
        <v>156</v>
      </c>
      <c r="F175" s="108">
        <f>+IF(F2=1,Assumptions!$H$117,IF(F2=2,Assumptions!$H$119,IF(F2&gt;2,Assumptions!$H$96,0)))</f>
        <v>0</v>
      </c>
      <c r="G175" s="108">
        <f>+IF(G2=1,Assumptions!$H$117,IF(G2=2,Assumptions!$H$119,IF(G2&gt;2,Assumptions!$H$96,0)))</f>
        <v>0</v>
      </c>
      <c r="H175" s="108">
        <f>+IF(H2=1,Assumptions!$H$117,IF(H2=2,Assumptions!$H$119,IF(H2&gt;2,Assumptions!$H$96,0)))</f>
        <v>0</v>
      </c>
      <c r="I175" s="108">
        <f>+IF(I2=1,Assumptions!$H$117,IF(I2=2,Assumptions!$H$119,IF(I2&gt;2,Assumptions!$H$96,0)))</f>
        <v>0.65</v>
      </c>
      <c r="J175" s="108">
        <f>+IF(J2=1,Assumptions!$H$117,IF(J2=2,Assumptions!$H$119,IF(J2&gt;2,Assumptions!$H$96,0)))</f>
        <v>0.7</v>
      </c>
      <c r="K175" s="108">
        <f>+IF(K2=1,Assumptions!$H$117,IF(K2=2,Assumptions!$H$119,IF(K2&gt;2,Assumptions!$H$96,0)))</f>
        <v>0.7</v>
      </c>
      <c r="L175" s="108">
        <f>+IF(L2=1,Assumptions!$H$117,IF(L2=2,Assumptions!$H$119,IF(L2&gt;2,Assumptions!$H$96,0)))</f>
        <v>0.7</v>
      </c>
      <c r="M175" s="108">
        <f>+IF(M2=1,Assumptions!$H$117,IF(M2=2,Assumptions!$H$119,IF(M2&gt;2,Assumptions!$H$96,0)))</f>
        <v>0.7</v>
      </c>
      <c r="N175" s="108">
        <f>+IF(N2=1,Assumptions!$H$117,IF(N2=2,Assumptions!$H$119,IF(N2&gt;2,Assumptions!$H$96,0)))</f>
        <v>0.7</v>
      </c>
      <c r="O175" s="108">
        <f>+IF(O2=1,Assumptions!$H$117,IF(O2=2,Assumptions!$H$119,IF(O2&gt;2,Assumptions!$H$96,0)))</f>
        <v>0.7</v>
      </c>
      <c r="P175" s="108">
        <f>+IF(P2=1,Assumptions!$H$117,IF(P2=2,Assumptions!$H$119,IF(P2&gt;2,Assumptions!$H$96,0)))</f>
        <v>0.7</v>
      </c>
      <c r="Q175" s="108">
        <f>+IF(Q2=1,Assumptions!$H$117,IF(Q2=2,Assumptions!$H$119,IF(Q2&gt;2,Assumptions!$H$96,0)))</f>
        <v>0.7</v>
      </c>
      <c r="R175" s="108">
        <f>+IF(R2=1,Assumptions!$H$117,IF(R2=2,Assumptions!$H$119,IF(R2&gt;2,Assumptions!$H$96,0)))</f>
        <v>0.7</v>
      </c>
      <c r="S175" s="108">
        <f>+IF(S2=1,Assumptions!$H$117,IF(S2=2,Assumptions!$H$119,IF(S2&gt;2,Assumptions!$H$96,0)))</f>
        <v>0.7</v>
      </c>
      <c r="T175" s="108">
        <f>+IF(T2=1,Assumptions!$H$117,IF(T2=2,Assumptions!$H$119,IF(T2&gt;2,Assumptions!$H$96,0)))</f>
        <v>0.7</v>
      </c>
      <c r="U175" s="108">
        <f>+IF(U2=1,Assumptions!$H$117,IF(U2=2,Assumptions!$H$119,IF(U2&gt;2,Assumptions!$H$96,0)))</f>
        <v>0.7</v>
      </c>
      <c r="V175" s="108">
        <f>+IF(V2=1,Assumptions!$H$117,IF(V2=2,Assumptions!$H$119,IF(V2&gt;2,Assumptions!$H$96,0)))</f>
        <v>0.7</v>
      </c>
      <c r="W175" s="108">
        <f>+IF(W2=1,Assumptions!$H$117,IF(W2=2,Assumptions!$H$119,IF(W2&gt;2,Assumptions!$H$96,0)))</f>
        <v>0.7</v>
      </c>
      <c r="X175" s="108">
        <f>+IF(X2=1,Assumptions!$H$117,IF(X2=2,Assumptions!$H$119,IF(X2&gt;2,Assumptions!$H$96,0)))</f>
        <v>0.7</v>
      </c>
      <c r="Y175" s="108">
        <f>+IF(Y2=1,Assumptions!$H$117,IF(Y2=2,Assumptions!$H$119,IF(Y2&gt;2,Assumptions!$H$96,0)))</f>
        <v>0.7</v>
      </c>
      <c r="Z175" s="108">
        <f>+IF(Z2=1,Assumptions!$H$117,IF(Z2=2,Assumptions!$H$119,IF(Z2&gt;2,Assumptions!$H$96,0)))</f>
        <v>0.7</v>
      </c>
    </row>
    <row r="176" spans="2:26" x14ac:dyDescent="0.35">
      <c r="B176" s="33" t="s">
        <v>155</v>
      </c>
      <c r="F176" s="34">
        <f>+F173*F175</f>
        <v>0</v>
      </c>
      <c r="G176" s="34">
        <f t="shared" ref="G176:Z176" si="66">+G173*G175</f>
        <v>0</v>
      </c>
      <c r="H176" s="34">
        <f t="shared" si="66"/>
        <v>0</v>
      </c>
      <c r="I176" s="34">
        <f t="shared" si="66"/>
        <v>103.46777999999999</v>
      </c>
      <c r="J176" s="34">
        <f t="shared" si="66"/>
        <v>117.44388936</v>
      </c>
      <c r="K176" s="34">
        <f t="shared" si="66"/>
        <v>123.65704995840001</v>
      </c>
      <c r="L176" s="34">
        <f t="shared" si="66"/>
        <v>126.130190957568</v>
      </c>
      <c r="M176" s="34">
        <f t="shared" si="66"/>
        <v>128.65279477671936</v>
      </c>
      <c r="N176" s="34">
        <f t="shared" si="66"/>
        <v>131.22585067225376</v>
      </c>
      <c r="O176" s="34">
        <f t="shared" si="66"/>
        <v>133.85036768569881</v>
      </c>
      <c r="P176" s="34">
        <f t="shared" si="66"/>
        <v>136.52737503941282</v>
      </c>
      <c r="Q176" s="34">
        <f t="shared" si="66"/>
        <v>139.25792254020106</v>
      </c>
      <c r="R176" s="34">
        <f t="shared" si="66"/>
        <v>142.04308099100507</v>
      </c>
      <c r="S176" s="34">
        <f t="shared" si="66"/>
        <v>144.88394261082519</v>
      </c>
      <c r="T176" s="34">
        <f t="shared" si="66"/>
        <v>147.78162146304169</v>
      </c>
      <c r="U176" s="34">
        <f t="shared" si="66"/>
        <v>150.73725389230253</v>
      </c>
      <c r="V176" s="34">
        <f t="shared" si="66"/>
        <v>153.75199897014858</v>
      </c>
      <c r="W176" s="34">
        <f t="shared" si="66"/>
        <v>156.82703894955156</v>
      </c>
      <c r="X176" s="34">
        <f t="shared" si="66"/>
        <v>159.96357972854261</v>
      </c>
      <c r="Y176" s="34">
        <f t="shared" si="66"/>
        <v>163.16285132311344</v>
      </c>
      <c r="Z176" s="34">
        <f t="shared" si="66"/>
        <v>166.42610834957574</v>
      </c>
    </row>
    <row r="177" spans="2:26" x14ac:dyDescent="0.35">
      <c r="B177" s="137" t="s">
        <v>307</v>
      </c>
      <c r="C177" s="137"/>
      <c r="D177" s="137"/>
      <c r="E177" s="137"/>
      <c r="F177" s="129">
        <f>+F176*365.25*F168</f>
        <v>0</v>
      </c>
      <c r="G177" s="129">
        <f t="shared" ref="G177:Z177" si="67">+G176*365.25*G168</f>
        <v>0</v>
      </c>
      <c r="H177" s="129">
        <f t="shared" si="67"/>
        <v>0</v>
      </c>
      <c r="I177" s="129">
        <f t="shared" si="67"/>
        <v>704391.87756178796</v>
      </c>
      <c r="J177" s="129">
        <f t="shared" si="67"/>
        <v>1599077.9300464222</v>
      </c>
      <c r="K177" s="129">
        <f t="shared" si="67"/>
        <v>1683674.3108617815</v>
      </c>
      <c r="L177" s="129">
        <f t="shared" si="67"/>
        <v>1717347.7970790169</v>
      </c>
      <c r="M177" s="129">
        <f t="shared" si="67"/>
        <v>1751694.7530205972</v>
      </c>
      <c r="N177" s="129">
        <f t="shared" si="67"/>
        <v>1786728.6480810093</v>
      </c>
      <c r="O177" s="129">
        <f t="shared" si="67"/>
        <v>1822463.2210426291</v>
      </c>
      <c r="P177" s="129">
        <f t="shared" si="67"/>
        <v>1858912.4854634823</v>
      </c>
      <c r="Q177" s="129">
        <f t="shared" si="67"/>
        <v>1896090.7351727518</v>
      </c>
      <c r="R177" s="129">
        <f t="shared" si="67"/>
        <v>1934012.5498762063</v>
      </c>
      <c r="S177" s="129">
        <f t="shared" si="67"/>
        <v>1972692.8008737308</v>
      </c>
      <c r="T177" s="129">
        <f t="shared" si="67"/>
        <v>2012146.6568912056</v>
      </c>
      <c r="U177" s="129">
        <f t="shared" si="67"/>
        <v>2052389.5900290296</v>
      </c>
      <c r="V177" s="129">
        <f t="shared" si="67"/>
        <v>2093437.3818296103</v>
      </c>
      <c r="W177" s="129">
        <f t="shared" si="67"/>
        <v>2135306.1294662026</v>
      </c>
      <c r="X177" s="129">
        <f t="shared" si="67"/>
        <v>2178012.2520555267</v>
      </c>
      <c r="Y177" s="129">
        <f t="shared" si="67"/>
        <v>2221572.4970966368</v>
      </c>
      <c r="Z177" s="129">
        <f t="shared" si="67"/>
        <v>2266003.9470385704</v>
      </c>
    </row>
    <row r="179" spans="2:26" x14ac:dyDescent="0.35">
      <c r="B179" s="33" t="s">
        <v>313</v>
      </c>
      <c r="F179" s="34">
        <f>+Assumptions!$H$108*'Phase III Pro Forma'!F172*'Phase III Pro Forma'!F169</f>
        <v>0</v>
      </c>
      <c r="G179" s="34">
        <f>+Assumptions!$H$108*'Phase III Pro Forma'!G172*'Phase III Pro Forma'!G169</f>
        <v>0</v>
      </c>
      <c r="H179" s="34">
        <f>+Assumptions!$H$108*'Phase III Pro Forma'!H172*'Phase III Pro Forma'!H169</f>
        <v>0</v>
      </c>
      <c r="I179" s="34">
        <f>+Assumptions!$H$108*'Phase III Pro Forma'!I172*'Phase III Pro Forma'!I169</f>
        <v>202252.28371262879</v>
      </c>
      <c r="J179" s="34">
        <f>+Assumptions!$H$108*'Phase III Pro Forma'!J172*'Phase III Pro Forma'!J169</f>
        <v>412594.65877376276</v>
      </c>
      <c r="K179" s="34">
        <f>+Assumptions!$H$108*'Phase III Pro Forma'!K172*'Phase III Pro Forma'!K169</f>
        <v>420846.55194923806</v>
      </c>
      <c r="L179" s="34">
        <f>+Assumptions!$H$108*'Phase III Pro Forma'!L172*'Phase III Pro Forma'!L169</f>
        <v>429263.48298822279</v>
      </c>
      <c r="M179" s="34">
        <f>+Assumptions!$H$108*'Phase III Pro Forma'!M172*'Phase III Pro Forma'!M169</f>
        <v>437848.75264798728</v>
      </c>
      <c r="N179" s="34">
        <f>+Assumptions!$H$108*'Phase III Pro Forma'!N172*'Phase III Pro Forma'!N169</f>
        <v>446605.72770094703</v>
      </c>
      <c r="O179" s="34">
        <f>+Assumptions!$H$108*'Phase III Pro Forma'!O172*'Phase III Pro Forma'!O169</f>
        <v>455537.84225496597</v>
      </c>
      <c r="P179" s="34">
        <f>+Assumptions!$H$108*'Phase III Pro Forma'!P172*'Phase III Pro Forma'!P169</f>
        <v>464648.5991000653</v>
      </c>
      <c r="Q179" s="34">
        <f>+Assumptions!$H$108*'Phase III Pro Forma'!Q172*'Phase III Pro Forma'!Q169</f>
        <v>473941.57108206663</v>
      </c>
      <c r="R179" s="34">
        <f>+Assumptions!$H$108*'Phase III Pro Forma'!R172*'Phase III Pro Forma'!R169</f>
        <v>483420.40250370791</v>
      </c>
      <c r="S179" s="34">
        <f>+Assumptions!$H$108*'Phase III Pro Forma'!S172*'Phase III Pro Forma'!S169</f>
        <v>493088.8105537821</v>
      </c>
      <c r="T179" s="34">
        <f>+Assumptions!$H$108*'Phase III Pro Forma'!T172*'Phase III Pro Forma'!T169</f>
        <v>502950.58676485776</v>
      </c>
      <c r="U179" s="34">
        <f>+Assumptions!$H$108*'Phase III Pro Forma'!U172*'Phase III Pro Forma'!U169</f>
        <v>513009.59850015491</v>
      </c>
      <c r="V179" s="34">
        <f>+Assumptions!$H$108*'Phase III Pro Forma'!V172*'Phase III Pro Forma'!V169</f>
        <v>523269.79047015804</v>
      </c>
      <c r="W179" s="34">
        <f>+Assumptions!$H$108*'Phase III Pro Forma'!W172*'Phase III Pro Forma'!W169</f>
        <v>533735.18627956125</v>
      </c>
      <c r="X179" s="34">
        <f>+Assumptions!$H$108*'Phase III Pro Forma'!X172*'Phase III Pro Forma'!X169</f>
        <v>544409.89000515244</v>
      </c>
      <c r="Y179" s="34">
        <f>+Assumptions!$H$108*'Phase III Pro Forma'!Y172*'Phase III Pro Forma'!Y169</f>
        <v>555298.08780525555</v>
      </c>
      <c r="Z179" s="34">
        <f>+Assumptions!$H$108*'Phase III Pro Forma'!Z172*'Phase III Pro Forma'!Z169</f>
        <v>566404.04956136062</v>
      </c>
    </row>
    <row r="180" spans="2:26" x14ac:dyDescent="0.35">
      <c r="B180" s="137" t="s">
        <v>316</v>
      </c>
      <c r="C180" s="137"/>
      <c r="D180" s="137"/>
      <c r="E180" s="137"/>
      <c r="F180" s="129">
        <f>+F177+F179</f>
        <v>0</v>
      </c>
      <c r="G180" s="129">
        <f t="shared" ref="G180:Z180" si="68">+G177+G179</f>
        <v>0</v>
      </c>
      <c r="H180" s="129">
        <f t="shared" si="68"/>
        <v>0</v>
      </c>
      <c r="I180" s="129">
        <f t="shared" si="68"/>
        <v>906644.16127441672</v>
      </c>
      <c r="J180" s="129">
        <f t="shared" si="68"/>
        <v>2011672.588820185</v>
      </c>
      <c r="K180" s="129">
        <f t="shared" si="68"/>
        <v>2104520.8628110196</v>
      </c>
      <c r="L180" s="129">
        <f t="shared" si="68"/>
        <v>2146611.2800672399</v>
      </c>
      <c r="M180" s="129">
        <f t="shared" si="68"/>
        <v>2189543.5056685843</v>
      </c>
      <c r="N180" s="129">
        <f t="shared" si="68"/>
        <v>2233334.3757819561</v>
      </c>
      <c r="O180" s="129">
        <f t="shared" si="68"/>
        <v>2278001.0632975949</v>
      </c>
      <c r="P180" s="129">
        <f t="shared" si="68"/>
        <v>2323561.0845635477</v>
      </c>
      <c r="Q180" s="129">
        <f t="shared" si="68"/>
        <v>2370032.3062548186</v>
      </c>
      <c r="R180" s="129">
        <f t="shared" si="68"/>
        <v>2417432.952379914</v>
      </c>
      <c r="S180" s="129">
        <f t="shared" si="68"/>
        <v>2465781.611427513</v>
      </c>
      <c r="T180" s="129">
        <f t="shared" si="68"/>
        <v>2515097.2436560635</v>
      </c>
      <c r="U180" s="129">
        <f t="shared" si="68"/>
        <v>2565399.1885291846</v>
      </c>
      <c r="V180" s="129">
        <f t="shared" si="68"/>
        <v>2616707.1722997683</v>
      </c>
      <c r="W180" s="129">
        <f t="shared" si="68"/>
        <v>2669041.3157457639</v>
      </c>
      <c r="X180" s="129">
        <f t="shared" si="68"/>
        <v>2722422.1420606794</v>
      </c>
      <c r="Y180" s="129">
        <f t="shared" si="68"/>
        <v>2776870.5849018926</v>
      </c>
      <c r="Z180" s="129">
        <f t="shared" si="68"/>
        <v>2832407.9965999313</v>
      </c>
    </row>
    <row r="181" spans="2:26" x14ac:dyDescent="0.35">
      <c r="B181" s="33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2:26" x14ac:dyDescent="0.35">
      <c r="B182" s="33" t="s">
        <v>314</v>
      </c>
      <c r="F182" s="42">
        <f>+Assumptions!$H$115*'Phase III Pro Forma'!F172*'Phase III Pro Forma'!F169</f>
        <v>0</v>
      </c>
      <c r="G182" s="42">
        <f>+Assumptions!$H$115*'Phase III Pro Forma'!G172*'Phase III Pro Forma'!G169</f>
        <v>0</v>
      </c>
      <c r="H182" s="42">
        <f>+Assumptions!$H$115*'Phase III Pro Forma'!H172*'Phase III Pro Forma'!H169</f>
        <v>0</v>
      </c>
      <c r="I182" s="42">
        <f>+Assumptions!$H$115*'Phase III Pro Forma'!I172*'Phase III Pro Forma'!I169</f>
        <v>0</v>
      </c>
      <c r="J182" s="42">
        <f>+Assumptions!$H$115*'Phase III Pro Forma'!J172*'Phase III Pro Forma'!J169</f>
        <v>0</v>
      </c>
      <c r="K182" s="42">
        <f>+Assumptions!$H$115*'Phase III Pro Forma'!K172*'Phase III Pro Forma'!K169</f>
        <v>0</v>
      </c>
      <c r="L182" s="42">
        <f>+Assumptions!$H$115*'Phase III Pro Forma'!L172*'Phase III Pro Forma'!L169</f>
        <v>0</v>
      </c>
      <c r="M182" s="42">
        <f>+Assumptions!$H$115*'Phase III Pro Forma'!M172*'Phase III Pro Forma'!M169</f>
        <v>0</v>
      </c>
      <c r="N182" s="42">
        <f>+Assumptions!$H$115*'Phase III Pro Forma'!N172*'Phase III Pro Forma'!N169</f>
        <v>0</v>
      </c>
      <c r="O182" s="42">
        <f>+Assumptions!$H$115*'Phase III Pro Forma'!O172*'Phase III Pro Forma'!O169</f>
        <v>0</v>
      </c>
      <c r="P182" s="42">
        <f>+Assumptions!$H$115*'Phase III Pro Forma'!P172*'Phase III Pro Forma'!P169</f>
        <v>0</v>
      </c>
      <c r="Q182" s="42">
        <f>+Assumptions!$H$115*'Phase III Pro Forma'!Q172*'Phase III Pro Forma'!Q169</f>
        <v>0</v>
      </c>
      <c r="R182" s="42">
        <f>+Assumptions!$H$115*'Phase III Pro Forma'!R172*'Phase III Pro Forma'!R169</f>
        <v>0</v>
      </c>
      <c r="S182" s="42">
        <f>+Assumptions!$H$115*'Phase III Pro Forma'!S172*'Phase III Pro Forma'!S169</f>
        <v>0</v>
      </c>
      <c r="T182" s="42">
        <f>+Assumptions!$H$115*'Phase III Pro Forma'!T172*'Phase III Pro Forma'!T169</f>
        <v>0</v>
      </c>
      <c r="U182" s="42">
        <f>+Assumptions!$H$115*'Phase III Pro Forma'!U172*'Phase III Pro Forma'!U169</f>
        <v>0</v>
      </c>
      <c r="V182" s="42">
        <f>+Assumptions!$H$115*'Phase III Pro Forma'!V172*'Phase III Pro Forma'!V169</f>
        <v>0</v>
      </c>
      <c r="W182" s="42">
        <f>+Assumptions!$H$115*'Phase III Pro Forma'!W172*'Phase III Pro Forma'!W169</f>
        <v>0</v>
      </c>
      <c r="X182" s="42">
        <f>+Assumptions!$H$115*'Phase III Pro Forma'!X172*'Phase III Pro Forma'!X169</f>
        <v>0</v>
      </c>
      <c r="Y182" s="42">
        <f>+Assumptions!$H$115*'Phase III Pro Forma'!Y172*'Phase III Pro Forma'!Y169</f>
        <v>0</v>
      </c>
      <c r="Z182" s="42">
        <f>+Assumptions!$H$115*'Phase III Pro Forma'!Z172*'Phase III Pro Forma'!Z169</f>
        <v>0</v>
      </c>
    </row>
    <row r="183" spans="2:26" s="157" customFormat="1" x14ac:dyDescent="0.35">
      <c r="B183" s="137" t="s">
        <v>782</v>
      </c>
      <c r="C183" s="137"/>
      <c r="D183" s="137"/>
      <c r="E183" s="137"/>
      <c r="F183" s="129">
        <f>+F180+F182</f>
        <v>0</v>
      </c>
      <c r="G183" s="129">
        <f t="shared" ref="G183:Z183" si="69">+G180+G182</f>
        <v>0</v>
      </c>
      <c r="H183" s="129">
        <f t="shared" si="69"/>
        <v>0</v>
      </c>
      <c r="I183" s="129">
        <f t="shared" si="69"/>
        <v>906644.16127441672</v>
      </c>
      <c r="J183" s="129">
        <f t="shared" si="69"/>
        <v>2011672.588820185</v>
      </c>
      <c r="K183" s="129">
        <f t="shared" si="69"/>
        <v>2104520.8628110196</v>
      </c>
      <c r="L183" s="129">
        <f t="shared" si="69"/>
        <v>2146611.2800672399</v>
      </c>
      <c r="M183" s="129">
        <f t="shared" si="69"/>
        <v>2189543.5056685843</v>
      </c>
      <c r="N183" s="129">
        <f t="shared" si="69"/>
        <v>2233334.3757819561</v>
      </c>
      <c r="O183" s="129">
        <f t="shared" si="69"/>
        <v>2278001.0632975949</v>
      </c>
      <c r="P183" s="129">
        <f t="shared" si="69"/>
        <v>2323561.0845635477</v>
      </c>
      <c r="Q183" s="129">
        <f t="shared" si="69"/>
        <v>2370032.3062548186</v>
      </c>
      <c r="R183" s="129">
        <f t="shared" si="69"/>
        <v>2417432.952379914</v>
      </c>
      <c r="S183" s="129">
        <f t="shared" si="69"/>
        <v>2465781.611427513</v>
      </c>
      <c r="T183" s="129">
        <f t="shared" si="69"/>
        <v>2515097.2436560635</v>
      </c>
      <c r="U183" s="129">
        <f t="shared" si="69"/>
        <v>2565399.1885291846</v>
      </c>
      <c r="V183" s="129">
        <f t="shared" si="69"/>
        <v>2616707.1722997683</v>
      </c>
      <c r="W183" s="129">
        <f t="shared" si="69"/>
        <v>2669041.3157457639</v>
      </c>
      <c r="X183" s="129">
        <f t="shared" si="69"/>
        <v>2722422.1420606794</v>
      </c>
      <c r="Y183" s="129">
        <f t="shared" si="69"/>
        <v>2776870.5849018926</v>
      </c>
      <c r="Z183" s="129">
        <f t="shared" si="69"/>
        <v>2832407.9965999313</v>
      </c>
    </row>
    <row r="185" spans="2:26" x14ac:dyDescent="0.35">
      <c r="B185" s="155" t="s">
        <v>146</v>
      </c>
    </row>
    <row r="186" spans="2:26" x14ac:dyDescent="0.35">
      <c r="B186" s="64" t="s">
        <v>285</v>
      </c>
      <c r="D186" s="115">
        <f>+Assumptions!M101</f>
        <v>0.25</v>
      </c>
      <c r="E186" s="115"/>
      <c r="F186" s="34">
        <f>F$177*$D186</f>
        <v>0</v>
      </c>
      <c r="G186" s="34">
        <f t="shared" ref="G186:Z186" si="70">G$177*$D186</f>
        <v>0</v>
      </c>
      <c r="H186" s="34">
        <f t="shared" si="70"/>
        <v>0</v>
      </c>
      <c r="I186" s="34">
        <f t="shared" si="70"/>
        <v>176097.96939044699</v>
      </c>
      <c r="J186" s="34">
        <f t="shared" si="70"/>
        <v>399769.48251160554</v>
      </c>
      <c r="K186" s="34">
        <f t="shared" si="70"/>
        <v>420918.57771544537</v>
      </c>
      <c r="L186" s="34">
        <f t="shared" si="70"/>
        <v>429336.94926975423</v>
      </c>
      <c r="M186" s="34">
        <f t="shared" si="70"/>
        <v>437923.68825514929</v>
      </c>
      <c r="N186" s="34">
        <f t="shared" si="70"/>
        <v>446682.16202025232</v>
      </c>
      <c r="O186" s="34">
        <f t="shared" si="70"/>
        <v>455615.80526065727</v>
      </c>
      <c r="P186" s="34">
        <f t="shared" si="70"/>
        <v>464728.12136587058</v>
      </c>
      <c r="Q186" s="34">
        <f t="shared" si="70"/>
        <v>474022.68379318796</v>
      </c>
      <c r="R186" s="34">
        <f t="shared" si="70"/>
        <v>483503.13746905158</v>
      </c>
      <c r="S186" s="34">
        <f t="shared" si="70"/>
        <v>493173.2002184327</v>
      </c>
      <c r="T186" s="34">
        <f t="shared" si="70"/>
        <v>503036.6642228014</v>
      </c>
      <c r="U186" s="34">
        <f t="shared" si="70"/>
        <v>513097.39750725741</v>
      </c>
      <c r="V186" s="34">
        <f t="shared" si="70"/>
        <v>523359.34545740258</v>
      </c>
      <c r="W186" s="34">
        <f t="shared" si="70"/>
        <v>533826.53236655064</v>
      </c>
      <c r="X186" s="34">
        <f t="shared" si="70"/>
        <v>544503.06301388168</v>
      </c>
      <c r="Y186" s="34">
        <f t="shared" si="70"/>
        <v>555393.1242741592</v>
      </c>
      <c r="Z186" s="34">
        <f t="shared" si="70"/>
        <v>566500.9867596426</v>
      </c>
    </row>
    <row r="187" spans="2:26" x14ac:dyDescent="0.35">
      <c r="B187" s="64" t="s">
        <v>312</v>
      </c>
      <c r="D187" s="115">
        <f>+Assumptions!M102</f>
        <v>0.7</v>
      </c>
      <c r="E187" s="115"/>
      <c r="F187" s="42">
        <f>F$179*$D187</f>
        <v>0</v>
      </c>
      <c r="G187" s="42">
        <f t="shared" ref="G187:Z187" si="71">G$179*$D187</f>
        <v>0</v>
      </c>
      <c r="H187" s="42">
        <f t="shared" si="71"/>
        <v>0</v>
      </c>
      <c r="I187" s="42">
        <f t="shared" si="71"/>
        <v>141576.59859884015</v>
      </c>
      <c r="J187" s="42">
        <f t="shared" si="71"/>
        <v>288816.26114163391</v>
      </c>
      <c r="K187" s="42">
        <f t="shared" si="71"/>
        <v>294592.58636446664</v>
      </c>
      <c r="L187" s="42">
        <f t="shared" si="71"/>
        <v>300484.43809175596</v>
      </c>
      <c r="M187" s="42">
        <f t="shared" si="71"/>
        <v>306494.12685359106</v>
      </c>
      <c r="N187" s="42">
        <f t="shared" si="71"/>
        <v>312624.00939066289</v>
      </c>
      <c r="O187" s="42">
        <f t="shared" si="71"/>
        <v>318876.48957847618</v>
      </c>
      <c r="P187" s="42">
        <f t="shared" si="71"/>
        <v>325254.01937004569</v>
      </c>
      <c r="Q187" s="42">
        <f t="shared" si="71"/>
        <v>331759.09975744662</v>
      </c>
      <c r="R187" s="42">
        <f t="shared" si="71"/>
        <v>338394.2817525955</v>
      </c>
      <c r="S187" s="42">
        <f t="shared" si="71"/>
        <v>345162.16738764744</v>
      </c>
      <c r="T187" s="42">
        <f t="shared" si="71"/>
        <v>352065.41073540039</v>
      </c>
      <c r="U187" s="42">
        <f t="shared" si="71"/>
        <v>359106.71895010839</v>
      </c>
      <c r="V187" s="42">
        <f t="shared" si="71"/>
        <v>366288.8533291106</v>
      </c>
      <c r="W187" s="42">
        <f t="shared" si="71"/>
        <v>373614.63039569283</v>
      </c>
      <c r="X187" s="42">
        <f t="shared" si="71"/>
        <v>381086.92300360667</v>
      </c>
      <c r="Y187" s="42">
        <f t="shared" si="71"/>
        <v>388708.66146367887</v>
      </c>
      <c r="Z187" s="42">
        <f t="shared" si="71"/>
        <v>396482.8346929524</v>
      </c>
    </row>
    <row r="188" spans="2:26" x14ac:dyDescent="0.35">
      <c r="B188" s="155" t="s">
        <v>286</v>
      </c>
    </row>
    <row r="189" spans="2:26" x14ac:dyDescent="0.35">
      <c r="B189" s="64" t="s">
        <v>287</v>
      </c>
      <c r="D189" s="115">
        <f>+Assumptions!M104</f>
        <v>0.08</v>
      </c>
      <c r="E189" s="115"/>
      <c r="F189" s="42">
        <f>F$180*$D189</f>
        <v>0</v>
      </c>
      <c r="G189" s="42">
        <f t="shared" ref="G189:V197" si="72">G$180*$D189</f>
        <v>0</v>
      </c>
      <c r="H189" s="42">
        <f t="shared" si="72"/>
        <v>0</v>
      </c>
      <c r="I189" s="42">
        <f t="shared" si="72"/>
        <v>72531.532901953338</v>
      </c>
      <c r="J189" s="42">
        <f t="shared" si="72"/>
        <v>160933.8071056148</v>
      </c>
      <c r="K189" s="42">
        <f t="shared" si="72"/>
        <v>168361.66902488159</v>
      </c>
      <c r="L189" s="42">
        <f t="shared" si="72"/>
        <v>171728.90240537919</v>
      </c>
      <c r="M189" s="42">
        <f t="shared" si="72"/>
        <v>175163.48045348676</v>
      </c>
      <c r="N189" s="42">
        <f t="shared" si="72"/>
        <v>178666.7500625565</v>
      </c>
      <c r="O189" s="42">
        <f t="shared" si="72"/>
        <v>182240.08506380761</v>
      </c>
      <c r="P189" s="42">
        <f t="shared" si="72"/>
        <v>185884.88676508382</v>
      </c>
      <c r="Q189" s="42">
        <f t="shared" si="72"/>
        <v>189602.58450038548</v>
      </c>
      <c r="R189" s="42">
        <f t="shared" si="72"/>
        <v>193394.63619039312</v>
      </c>
      <c r="S189" s="42">
        <f t="shared" si="72"/>
        <v>197262.52891420104</v>
      </c>
      <c r="T189" s="42">
        <f t="shared" si="72"/>
        <v>201207.77949248508</v>
      </c>
      <c r="U189" s="42">
        <f t="shared" si="72"/>
        <v>205231.93508233476</v>
      </c>
      <c r="V189" s="42">
        <f t="shared" si="72"/>
        <v>209336.57378398147</v>
      </c>
      <c r="W189" s="42">
        <f t="shared" ref="W189:Z197" si="73">W$180*$D189</f>
        <v>213523.30525966111</v>
      </c>
      <c r="X189" s="42">
        <f t="shared" si="73"/>
        <v>217793.77136485436</v>
      </c>
      <c r="Y189" s="42">
        <f t="shared" si="73"/>
        <v>222149.64679215141</v>
      </c>
      <c r="Z189" s="42">
        <f t="shared" si="73"/>
        <v>226592.63972799451</v>
      </c>
    </row>
    <row r="190" spans="2:26" x14ac:dyDescent="0.35">
      <c r="B190" s="64" t="s">
        <v>288</v>
      </c>
      <c r="D190" s="115">
        <f>+Assumptions!M105</f>
        <v>0.01</v>
      </c>
      <c r="E190" s="115"/>
      <c r="F190" s="42">
        <f t="shared" ref="F190:F197" si="74">F$180*$D190</f>
        <v>0</v>
      </c>
      <c r="G190" s="42">
        <f t="shared" si="72"/>
        <v>0</v>
      </c>
      <c r="H190" s="42">
        <f t="shared" si="72"/>
        <v>0</v>
      </c>
      <c r="I190" s="42">
        <f t="shared" si="72"/>
        <v>9066.4416127441673</v>
      </c>
      <c r="J190" s="42">
        <f t="shared" si="72"/>
        <v>20116.72588820185</v>
      </c>
      <c r="K190" s="42">
        <f t="shared" si="72"/>
        <v>21045.208628110198</v>
      </c>
      <c r="L190" s="42">
        <f t="shared" si="72"/>
        <v>21466.112800672399</v>
      </c>
      <c r="M190" s="42">
        <f t="shared" si="72"/>
        <v>21895.435056685845</v>
      </c>
      <c r="N190" s="42">
        <f t="shared" si="72"/>
        <v>22333.343757819563</v>
      </c>
      <c r="O190" s="42">
        <f t="shared" si="72"/>
        <v>22780.010632975951</v>
      </c>
      <c r="P190" s="42">
        <f t="shared" si="72"/>
        <v>23235.610845635478</v>
      </c>
      <c r="Q190" s="42">
        <f t="shared" si="72"/>
        <v>23700.323062548185</v>
      </c>
      <c r="R190" s="42">
        <f t="shared" si="72"/>
        <v>24174.329523799141</v>
      </c>
      <c r="S190" s="42">
        <f t="shared" si="72"/>
        <v>24657.816114275131</v>
      </c>
      <c r="T190" s="42">
        <f t="shared" si="72"/>
        <v>25150.972436560634</v>
      </c>
      <c r="U190" s="42">
        <f t="shared" si="72"/>
        <v>25653.991885291845</v>
      </c>
      <c r="V190" s="42">
        <f t="shared" si="72"/>
        <v>26167.071722997684</v>
      </c>
      <c r="W190" s="42">
        <f t="shared" si="73"/>
        <v>26690.413157457639</v>
      </c>
      <c r="X190" s="42">
        <f t="shared" si="73"/>
        <v>27224.221420606795</v>
      </c>
      <c r="Y190" s="42">
        <f t="shared" si="73"/>
        <v>27768.705849018927</v>
      </c>
      <c r="Z190" s="42">
        <f t="shared" si="73"/>
        <v>28324.079965999314</v>
      </c>
    </row>
    <row r="191" spans="2:26" x14ac:dyDescent="0.35">
      <c r="B191" s="64" t="s">
        <v>73</v>
      </c>
      <c r="D191" s="115">
        <f>+Assumptions!M106</f>
        <v>6.5000000000000002E-2</v>
      </c>
      <c r="E191" s="115"/>
      <c r="F191" s="42">
        <f t="shared" si="74"/>
        <v>0</v>
      </c>
      <c r="G191" s="42">
        <f t="shared" si="72"/>
        <v>0</v>
      </c>
      <c r="H191" s="42">
        <f t="shared" si="72"/>
        <v>0</v>
      </c>
      <c r="I191" s="42">
        <f t="shared" si="72"/>
        <v>58931.87048283709</v>
      </c>
      <c r="J191" s="42">
        <f t="shared" si="72"/>
        <v>130758.71827331203</v>
      </c>
      <c r="K191" s="42">
        <f t="shared" si="72"/>
        <v>136793.85608271629</v>
      </c>
      <c r="L191" s="42">
        <f t="shared" si="72"/>
        <v>139529.7332043706</v>
      </c>
      <c r="M191" s="42">
        <f t="shared" si="72"/>
        <v>142320.32786845797</v>
      </c>
      <c r="N191" s="42">
        <f t="shared" si="72"/>
        <v>145166.73442582716</v>
      </c>
      <c r="O191" s="42">
        <f t="shared" si="72"/>
        <v>148070.06911434367</v>
      </c>
      <c r="P191" s="42">
        <f t="shared" si="72"/>
        <v>151031.47049663062</v>
      </c>
      <c r="Q191" s="42">
        <f t="shared" si="72"/>
        <v>154052.09990656321</v>
      </c>
      <c r="R191" s="42">
        <f t="shared" si="72"/>
        <v>157133.14190469441</v>
      </c>
      <c r="S191" s="42">
        <f t="shared" si="72"/>
        <v>160275.80474278834</v>
      </c>
      <c r="T191" s="42">
        <f t="shared" si="72"/>
        <v>163481.32083764413</v>
      </c>
      <c r="U191" s="42">
        <f t="shared" si="72"/>
        <v>166750.947254397</v>
      </c>
      <c r="V191" s="42">
        <f t="shared" si="72"/>
        <v>170085.96619948494</v>
      </c>
      <c r="W191" s="42">
        <f t="shared" si="73"/>
        <v>173487.68552347468</v>
      </c>
      <c r="X191" s="42">
        <f t="shared" si="73"/>
        <v>176957.43923394417</v>
      </c>
      <c r="Y191" s="42">
        <f t="shared" si="73"/>
        <v>180496.58801862304</v>
      </c>
      <c r="Z191" s="42">
        <f t="shared" si="73"/>
        <v>184106.51977899554</v>
      </c>
    </row>
    <row r="192" spans="2:26" x14ac:dyDescent="0.35">
      <c r="B192" s="64" t="s">
        <v>289</v>
      </c>
      <c r="D192" s="115">
        <f>+Assumptions!M107</f>
        <v>0.02</v>
      </c>
      <c r="E192" s="115"/>
      <c r="F192" s="42">
        <f t="shared" si="74"/>
        <v>0</v>
      </c>
      <c r="G192" s="42">
        <f t="shared" si="72"/>
        <v>0</v>
      </c>
      <c r="H192" s="42">
        <f t="shared" si="72"/>
        <v>0</v>
      </c>
      <c r="I192" s="42">
        <f t="shared" si="72"/>
        <v>18132.883225488335</v>
      </c>
      <c r="J192" s="42">
        <f t="shared" si="72"/>
        <v>40233.451776403701</v>
      </c>
      <c r="K192" s="42">
        <f t="shared" si="72"/>
        <v>42090.417256220397</v>
      </c>
      <c r="L192" s="42">
        <f t="shared" si="72"/>
        <v>42932.225601344799</v>
      </c>
      <c r="M192" s="42">
        <f t="shared" si="72"/>
        <v>43790.87011337169</v>
      </c>
      <c r="N192" s="42">
        <f t="shared" si="72"/>
        <v>44666.687515639125</v>
      </c>
      <c r="O192" s="42">
        <f t="shared" si="72"/>
        <v>45560.021265951902</v>
      </c>
      <c r="P192" s="42">
        <f t="shared" si="72"/>
        <v>46471.221691270955</v>
      </c>
      <c r="Q192" s="42">
        <f t="shared" si="72"/>
        <v>47400.646125096369</v>
      </c>
      <c r="R192" s="42">
        <f t="shared" si="72"/>
        <v>48348.659047598281</v>
      </c>
      <c r="S192" s="42">
        <f t="shared" si="72"/>
        <v>49315.632228550261</v>
      </c>
      <c r="T192" s="42">
        <f t="shared" si="72"/>
        <v>50301.944873121269</v>
      </c>
      <c r="U192" s="42">
        <f t="shared" si="72"/>
        <v>51307.983770583691</v>
      </c>
      <c r="V192" s="42">
        <f t="shared" si="72"/>
        <v>52334.143445995367</v>
      </c>
      <c r="W192" s="42">
        <f t="shared" si="73"/>
        <v>53380.826314915277</v>
      </c>
      <c r="X192" s="42">
        <f t="shared" si="73"/>
        <v>54448.442841213589</v>
      </c>
      <c r="Y192" s="42">
        <f t="shared" si="73"/>
        <v>55537.411698037853</v>
      </c>
      <c r="Z192" s="42">
        <f t="shared" si="73"/>
        <v>56648.159931998627</v>
      </c>
    </row>
    <row r="193" spans="2:26" x14ac:dyDescent="0.35">
      <c r="B193" s="64" t="s">
        <v>290</v>
      </c>
      <c r="D193" s="115">
        <f>+Assumptions!M108</f>
        <v>0.03</v>
      </c>
      <c r="E193" s="115"/>
      <c r="F193" s="42">
        <f t="shared" si="74"/>
        <v>0</v>
      </c>
      <c r="G193" s="42">
        <f t="shared" si="72"/>
        <v>0</v>
      </c>
      <c r="H193" s="42">
        <f t="shared" si="72"/>
        <v>0</v>
      </c>
      <c r="I193" s="42">
        <f t="shared" si="72"/>
        <v>27199.3248382325</v>
      </c>
      <c r="J193" s="42">
        <f t="shared" si="72"/>
        <v>60350.177664605551</v>
      </c>
      <c r="K193" s="42">
        <f t="shared" si="72"/>
        <v>63135.625884330584</v>
      </c>
      <c r="L193" s="42">
        <f t="shared" si="72"/>
        <v>64398.338402017194</v>
      </c>
      <c r="M193" s="42">
        <f t="shared" si="72"/>
        <v>65686.305170057531</v>
      </c>
      <c r="N193" s="42">
        <f t="shared" si="72"/>
        <v>67000.031273458677</v>
      </c>
      <c r="O193" s="42">
        <f t="shared" si="72"/>
        <v>68340.031898927846</v>
      </c>
      <c r="P193" s="42">
        <f t="shared" si="72"/>
        <v>69706.832536906426</v>
      </c>
      <c r="Q193" s="42">
        <f t="shared" si="72"/>
        <v>71100.969187644558</v>
      </c>
      <c r="R193" s="42">
        <f t="shared" si="72"/>
        <v>72522.988571397422</v>
      </c>
      <c r="S193" s="42">
        <f t="shared" si="72"/>
        <v>73973.448342825388</v>
      </c>
      <c r="T193" s="42">
        <f t="shared" si="72"/>
        <v>75452.917309681899</v>
      </c>
      <c r="U193" s="42">
        <f t="shared" si="72"/>
        <v>76961.975655875533</v>
      </c>
      <c r="V193" s="42">
        <f t="shared" si="72"/>
        <v>78501.215168993047</v>
      </c>
      <c r="W193" s="42">
        <f t="shared" si="73"/>
        <v>80071.239472372908</v>
      </c>
      <c r="X193" s="42">
        <f t="shared" si="73"/>
        <v>81672.664261820377</v>
      </c>
      <c r="Y193" s="42">
        <f t="shared" si="73"/>
        <v>83306.117547056769</v>
      </c>
      <c r="Z193" s="42">
        <f t="shared" si="73"/>
        <v>84972.239897997933</v>
      </c>
    </row>
    <row r="194" spans="2:26" x14ac:dyDescent="0.35">
      <c r="B194" s="64" t="s">
        <v>291</v>
      </c>
      <c r="D194" s="115">
        <f>+Assumptions!M109</f>
        <v>0.04</v>
      </c>
      <c r="E194" s="115"/>
      <c r="F194" s="42">
        <f t="shared" si="74"/>
        <v>0</v>
      </c>
      <c r="G194" s="42">
        <f t="shared" si="72"/>
        <v>0</v>
      </c>
      <c r="H194" s="42">
        <f t="shared" si="72"/>
        <v>0</v>
      </c>
      <c r="I194" s="42">
        <f t="shared" si="72"/>
        <v>36265.766450976669</v>
      </c>
      <c r="J194" s="42">
        <f t="shared" si="72"/>
        <v>80466.903552807402</v>
      </c>
      <c r="K194" s="42">
        <f t="shared" si="72"/>
        <v>84180.834512440793</v>
      </c>
      <c r="L194" s="42">
        <f t="shared" si="72"/>
        <v>85864.451202689597</v>
      </c>
      <c r="M194" s="42">
        <f t="shared" si="72"/>
        <v>87581.740226743379</v>
      </c>
      <c r="N194" s="42">
        <f t="shared" si="72"/>
        <v>89333.37503127825</v>
      </c>
      <c r="O194" s="42">
        <f t="shared" si="72"/>
        <v>91120.042531903804</v>
      </c>
      <c r="P194" s="42">
        <f t="shared" si="72"/>
        <v>92942.443382541911</v>
      </c>
      <c r="Q194" s="42">
        <f t="shared" si="72"/>
        <v>94801.292250192739</v>
      </c>
      <c r="R194" s="42">
        <f t="shared" si="72"/>
        <v>96697.318095196562</v>
      </c>
      <c r="S194" s="42">
        <f t="shared" si="72"/>
        <v>98631.264457100522</v>
      </c>
      <c r="T194" s="42">
        <f t="shared" si="72"/>
        <v>100603.88974624254</v>
      </c>
      <c r="U194" s="42">
        <f t="shared" si="72"/>
        <v>102615.96754116738</v>
      </c>
      <c r="V194" s="42">
        <f t="shared" si="72"/>
        <v>104668.28689199073</v>
      </c>
      <c r="W194" s="42">
        <f t="shared" si="73"/>
        <v>106761.65262983055</v>
      </c>
      <c r="X194" s="42">
        <f t="shared" si="73"/>
        <v>108896.88568242718</v>
      </c>
      <c r="Y194" s="42">
        <f t="shared" si="73"/>
        <v>111074.82339607571</v>
      </c>
      <c r="Z194" s="42">
        <f t="shared" si="73"/>
        <v>113296.31986399725</v>
      </c>
    </row>
    <row r="195" spans="2:26" x14ac:dyDescent="0.35">
      <c r="B195" s="64" t="s">
        <v>59</v>
      </c>
      <c r="D195" s="115">
        <f>+Assumptions!M110</f>
        <v>0.01</v>
      </c>
      <c r="E195" s="115"/>
      <c r="F195" s="42">
        <f t="shared" si="74"/>
        <v>0</v>
      </c>
      <c r="G195" s="42">
        <f t="shared" si="72"/>
        <v>0</v>
      </c>
      <c r="H195" s="42">
        <f t="shared" si="72"/>
        <v>0</v>
      </c>
      <c r="I195" s="42">
        <f t="shared" si="72"/>
        <v>9066.4416127441673</v>
      </c>
      <c r="J195" s="42">
        <f t="shared" si="72"/>
        <v>20116.72588820185</v>
      </c>
      <c r="K195" s="42">
        <f t="shared" si="72"/>
        <v>21045.208628110198</v>
      </c>
      <c r="L195" s="42">
        <f t="shared" si="72"/>
        <v>21466.112800672399</v>
      </c>
      <c r="M195" s="42">
        <f t="shared" si="72"/>
        <v>21895.435056685845</v>
      </c>
      <c r="N195" s="42">
        <f t="shared" si="72"/>
        <v>22333.343757819563</v>
      </c>
      <c r="O195" s="42">
        <f t="shared" si="72"/>
        <v>22780.010632975951</v>
      </c>
      <c r="P195" s="42">
        <f t="shared" si="72"/>
        <v>23235.610845635478</v>
      </c>
      <c r="Q195" s="42">
        <f t="shared" si="72"/>
        <v>23700.323062548185</v>
      </c>
      <c r="R195" s="42">
        <f t="shared" si="72"/>
        <v>24174.329523799141</v>
      </c>
      <c r="S195" s="42">
        <f t="shared" si="72"/>
        <v>24657.816114275131</v>
      </c>
      <c r="T195" s="42">
        <f t="shared" si="72"/>
        <v>25150.972436560634</v>
      </c>
      <c r="U195" s="42">
        <f t="shared" si="72"/>
        <v>25653.991885291845</v>
      </c>
      <c r="V195" s="42">
        <f t="shared" si="72"/>
        <v>26167.071722997684</v>
      </c>
      <c r="W195" s="42">
        <f t="shared" si="73"/>
        <v>26690.413157457639</v>
      </c>
      <c r="X195" s="42">
        <f t="shared" si="73"/>
        <v>27224.221420606795</v>
      </c>
      <c r="Y195" s="42">
        <f t="shared" si="73"/>
        <v>27768.705849018927</v>
      </c>
      <c r="Z195" s="42">
        <f t="shared" si="73"/>
        <v>28324.079965999314</v>
      </c>
    </row>
    <row r="196" spans="2:26" x14ac:dyDescent="0.35">
      <c r="B196" s="169" t="s">
        <v>331</v>
      </c>
      <c r="D196" s="116">
        <f ca="1">+SUM(F196:Z196)/SUM(F180:Z180)</f>
        <v>7.4549348376959368E-2</v>
      </c>
      <c r="E196" s="116"/>
      <c r="F196" s="151">
        <f ca="1">+IFERROR(INDEX('Taxes and TIF'!$AR$11:$AR$45,MATCH('Phase III Pro Forma'!F$7,'Taxes and TIF'!$AG$11:$AG$45,0)),0)*'Loan Sizing'!$M$36*F169</f>
        <v>0</v>
      </c>
      <c r="G196" s="151">
        <f ca="1">+IFERROR(INDEX('Taxes and TIF'!$AR$11:$AR$45,MATCH('Phase III Pro Forma'!G$7,'Taxes and TIF'!$AG$11:$AG$45,0)),0)*'Loan Sizing'!$M$36*G169</f>
        <v>0</v>
      </c>
      <c r="H196" s="151">
        <f ca="1">+IFERROR(INDEX('Taxes and TIF'!$AR$11:$AR$45,MATCH('Phase III Pro Forma'!H$7,'Taxes and TIF'!$AG$11:$AG$45,0)),0)*'Loan Sizing'!$M$36*H169</f>
        <v>0</v>
      </c>
      <c r="I196" s="151">
        <f ca="1">+IFERROR(INDEX('Taxes and TIF'!$AR$11:$AR$45,MATCH('Phase III Pro Forma'!I$7,'Taxes and TIF'!$AG$11:$AG$45,0)),0)*'Loan Sizing'!$M$36*I169</f>
        <v>84112.568676358278</v>
      </c>
      <c r="J196" s="151">
        <f ca="1">+IFERROR(INDEX('Taxes and TIF'!$AR$11:$AR$45,MATCH('Phase III Pro Forma'!J$7,'Taxes and TIF'!$AG$11:$AG$45,0)),0)*'Loan Sizing'!$M$36*J169</f>
        <v>171589.64009977094</v>
      </c>
      <c r="K196" s="151">
        <f ca="1">+IFERROR(INDEX('Taxes and TIF'!$AR$11:$AR$45,MATCH('Phase III Pro Forma'!K$7,'Taxes and TIF'!$AG$11:$AG$45,0)),0)*'Loan Sizing'!$M$36*K169</f>
        <v>171589.64009977094</v>
      </c>
      <c r="L196" s="151">
        <f ca="1">+IFERROR(INDEX('Taxes and TIF'!$AR$11:$AR$45,MATCH('Phase III Pro Forma'!L$7,'Taxes and TIF'!$AG$11:$AG$45,0)),0)*'Loan Sizing'!$M$36*L169</f>
        <v>171589.64009977094</v>
      </c>
      <c r="M196" s="151">
        <f ca="1">+IFERROR(INDEX('Taxes and TIF'!$AR$11:$AR$45,MATCH('Phase III Pro Forma'!M$7,'Taxes and TIF'!$AG$11:$AG$45,0)),0)*'Loan Sizing'!$M$36*M169</f>
        <v>175021.43290176633</v>
      </c>
      <c r="N196" s="151">
        <f ca="1">+IFERROR(INDEX('Taxes and TIF'!$AR$11:$AR$45,MATCH('Phase III Pro Forma'!N$7,'Taxes and TIF'!$AG$11:$AG$45,0)),0)*'Loan Sizing'!$M$36*N169</f>
        <v>175021.43290176633</v>
      </c>
      <c r="O196" s="151">
        <f ca="1">+IFERROR(INDEX('Taxes and TIF'!$AR$11:$AR$45,MATCH('Phase III Pro Forma'!O$7,'Taxes and TIF'!$AG$11:$AG$45,0)),0)*'Loan Sizing'!$M$36*O169</f>
        <v>175021.43290176633</v>
      </c>
      <c r="P196" s="151">
        <f ca="1">+IFERROR(INDEX('Taxes and TIF'!$AR$11:$AR$45,MATCH('Phase III Pro Forma'!P$7,'Taxes and TIF'!$AG$11:$AG$45,0)),0)*'Loan Sizing'!$M$36*P169</f>
        <v>178521.86155980168</v>
      </c>
      <c r="Q196" s="151">
        <f ca="1">+IFERROR(INDEX('Taxes and TIF'!$AR$11:$AR$45,MATCH('Phase III Pro Forma'!Q$7,'Taxes and TIF'!$AG$11:$AG$45,0)),0)*'Loan Sizing'!$M$36*Q169</f>
        <v>178521.86155980168</v>
      </c>
      <c r="R196" s="151">
        <f ca="1">+IFERROR(INDEX('Taxes and TIF'!$AR$11:$AR$45,MATCH('Phase III Pro Forma'!R$7,'Taxes and TIF'!$AG$11:$AG$45,0)),0)*'Loan Sizing'!$M$36*R169</f>
        <v>178521.86155980168</v>
      </c>
      <c r="S196" s="151">
        <f ca="1">+IFERROR(INDEX('Taxes and TIF'!$AR$11:$AR$45,MATCH('Phase III Pro Forma'!S$7,'Taxes and TIF'!$AG$11:$AG$45,0)),0)*'Loan Sizing'!$M$36*S169</f>
        <v>182092.29879099768</v>
      </c>
      <c r="T196" s="151">
        <f ca="1">+IFERROR(INDEX('Taxes and TIF'!$AR$11:$AR$45,MATCH('Phase III Pro Forma'!T$7,'Taxes and TIF'!$AG$11:$AG$45,0)),0)*'Loan Sizing'!$M$36*T169</f>
        <v>182092.29879099768</v>
      </c>
      <c r="U196" s="151">
        <f ca="1">+IFERROR(INDEX('Taxes and TIF'!$AR$11:$AR$45,MATCH('Phase III Pro Forma'!U$7,'Taxes and TIF'!$AG$11:$AG$45,0)),0)*'Loan Sizing'!$M$36*U169</f>
        <v>182092.29879099768</v>
      </c>
      <c r="V196" s="151">
        <f ca="1">+IFERROR(INDEX('Taxes and TIF'!$AR$11:$AR$45,MATCH('Phase III Pro Forma'!V$7,'Taxes and TIF'!$AG$11:$AG$45,0)),0)*'Loan Sizing'!$M$36*V169</f>
        <v>185734.14476681768</v>
      </c>
      <c r="W196" s="151">
        <f ca="1">+IFERROR(INDEX('Taxes and TIF'!$AR$11:$AR$45,MATCH('Phase III Pro Forma'!W$7,'Taxes and TIF'!$AG$11:$AG$45,0)),0)*'Loan Sizing'!$M$36*W169</f>
        <v>185734.14476681768</v>
      </c>
      <c r="X196" s="151">
        <f ca="1">+IFERROR(INDEX('Taxes and TIF'!$AR$11:$AR$45,MATCH('Phase III Pro Forma'!X$7,'Taxes and TIF'!$AG$11:$AG$45,0)),0)*'Loan Sizing'!$M$36*X169</f>
        <v>185734.14476681768</v>
      </c>
      <c r="Y196" s="151">
        <f ca="1">+IFERROR(INDEX('Taxes and TIF'!$AR$11:$AR$45,MATCH('Phase III Pro Forma'!Y$7,'Taxes and TIF'!$AG$11:$AG$45,0)),0)*'Loan Sizing'!$M$36*Y169</f>
        <v>189448.82766215404</v>
      </c>
      <c r="Z196" s="151">
        <f ca="1">+IFERROR(INDEX('Taxes and TIF'!$AR$11:$AR$45,MATCH('Phase III Pro Forma'!Z$7,'Taxes and TIF'!$AG$11:$AG$45,0)),0)*'Loan Sizing'!$M$36*Z169</f>
        <v>189448.82766215404</v>
      </c>
    </row>
    <row r="197" spans="2:26" x14ac:dyDescent="0.35">
      <c r="B197" s="64" t="s">
        <v>292</v>
      </c>
      <c r="D197" s="115">
        <f>+Assumptions!M111</f>
        <v>3.5000000000000003E-2</v>
      </c>
      <c r="E197" s="115"/>
      <c r="F197" s="42">
        <f t="shared" si="74"/>
        <v>0</v>
      </c>
      <c r="G197" s="42">
        <f t="shared" si="72"/>
        <v>0</v>
      </c>
      <c r="H197" s="42">
        <f t="shared" si="72"/>
        <v>0</v>
      </c>
      <c r="I197" s="42">
        <f t="shared" si="72"/>
        <v>31732.54564460459</v>
      </c>
      <c r="J197" s="42">
        <f t="shared" si="72"/>
        <v>70408.540608706477</v>
      </c>
      <c r="K197" s="42">
        <f t="shared" si="72"/>
        <v>73658.230198385689</v>
      </c>
      <c r="L197" s="42">
        <f t="shared" si="72"/>
        <v>75131.394802353403</v>
      </c>
      <c r="M197" s="42">
        <f t="shared" si="72"/>
        <v>76634.022698400455</v>
      </c>
      <c r="N197" s="42">
        <f t="shared" si="72"/>
        <v>78166.703152368471</v>
      </c>
      <c r="O197" s="42">
        <f t="shared" si="72"/>
        <v>79730.037215415825</v>
      </c>
      <c r="P197" s="42">
        <f t="shared" si="72"/>
        <v>81324.637959724176</v>
      </c>
      <c r="Q197" s="42">
        <f t="shared" si="72"/>
        <v>82951.130718918663</v>
      </c>
      <c r="R197" s="42">
        <f t="shared" si="72"/>
        <v>84610.153333296999</v>
      </c>
      <c r="S197" s="42">
        <f t="shared" si="72"/>
        <v>86302.356399962955</v>
      </c>
      <c r="T197" s="42">
        <f t="shared" si="72"/>
        <v>88028.403527962233</v>
      </c>
      <c r="U197" s="42">
        <f t="shared" si="72"/>
        <v>89788.971598521472</v>
      </c>
      <c r="V197" s="42">
        <f t="shared" si="72"/>
        <v>91584.751030491898</v>
      </c>
      <c r="W197" s="42">
        <f t="shared" si="73"/>
        <v>93416.446051101753</v>
      </c>
      <c r="X197" s="42">
        <f t="shared" si="73"/>
        <v>95284.774972123792</v>
      </c>
      <c r="Y197" s="42">
        <f t="shared" si="73"/>
        <v>97190.470471566252</v>
      </c>
      <c r="Z197" s="42">
        <f t="shared" si="73"/>
        <v>99134.279880997608</v>
      </c>
    </row>
    <row r="198" spans="2:26" x14ac:dyDescent="0.35">
      <c r="B198" s="156" t="s">
        <v>183</v>
      </c>
    </row>
    <row r="199" spans="2:26" x14ac:dyDescent="0.35">
      <c r="B199" s="64" t="s">
        <v>9</v>
      </c>
      <c r="D199" s="115">
        <f>+Assumptions!M115</f>
        <v>0.4</v>
      </c>
      <c r="E199" s="115"/>
      <c r="F199" s="42">
        <f t="shared" ref="F199:Z199" si="75">F$182*$D199</f>
        <v>0</v>
      </c>
      <c r="G199" s="42">
        <f t="shared" si="75"/>
        <v>0</v>
      </c>
      <c r="H199" s="42">
        <f t="shared" si="75"/>
        <v>0</v>
      </c>
      <c r="I199" s="42">
        <f t="shared" si="75"/>
        <v>0</v>
      </c>
      <c r="J199" s="42">
        <f t="shared" si="75"/>
        <v>0</v>
      </c>
      <c r="K199" s="42">
        <f t="shared" si="75"/>
        <v>0</v>
      </c>
      <c r="L199" s="42">
        <f t="shared" si="75"/>
        <v>0</v>
      </c>
      <c r="M199" s="42">
        <f t="shared" si="75"/>
        <v>0</v>
      </c>
      <c r="N199" s="42">
        <f t="shared" si="75"/>
        <v>0</v>
      </c>
      <c r="O199" s="42">
        <f t="shared" si="75"/>
        <v>0</v>
      </c>
      <c r="P199" s="42">
        <f t="shared" si="75"/>
        <v>0</v>
      </c>
      <c r="Q199" s="42">
        <f t="shared" si="75"/>
        <v>0</v>
      </c>
      <c r="R199" s="42">
        <f t="shared" si="75"/>
        <v>0</v>
      </c>
      <c r="S199" s="42">
        <f t="shared" si="75"/>
        <v>0</v>
      </c>
      <c r="T199" s="42">
        <f t="shared" si="75"/>
        <v>0</v>
      </c>
      <c r="U199" s="42">
        <f t="shared" si="75"/>
        <v>0</v>
      </c>
      <c r="V199" s="42">
        <f t="shared" si="75"/>
        <v>0</v>
      </c>
      <c r="W199" s="42">
        <f t="shared" si="75"/>
        <v>0</v>
      </c>
      <c r="X199" s="42">
        <f t="shared" si="75"/>
        <v>0</v>
      </c>
      <c r="Y199" s="42">
        <f t="shared" si="75"/>
        <v>0</v>
      </c>
      <c r="Z199" s="42">
        <f t="shared" si="75"/>
        <v>0</v>
      </c>
    </row>
    <row r="200" spans="2:26" x14ac:dyDescent="0.35">
      <c r="B200" s="137" t="s">
        <v>318</v>
      </c>
      <c r="C200" s="137"/>
      <c r="D200" s="137"/>
      <c r="E200" s="137"/>
      <c r="F200" s="129">
        <f t="shared" ref="F200:Z200" ca="1" si="76">+SUM(F186:F199)</f>
        <v>0</v>
      </c>
      <c r="G200" s="129">
        <f t="shared" ca="1" si="76"/>
        <v>0</v>
      </c>
      <c r="H200" s="129">
        <f t="shared" ca="1" si="76"/>
        <v>0</v>
      </c>
      <c r="I200" s="129">
        <f t="shared" ca="1" si="76"/>
        <v>664713.94343522633</v>
      </c>
      <c r="J200" s="129">
        <f t="shared" ca="1" si="76"/>
        <v>1443560.4345108639</v>
      </c>
      <c r="K200" s="129">
        <f t="shared" ca="1" si="76"/>
        <v>1497411.8543948785</v>
      </c>
      <c r="L200" s="129">
        <f t="shared" ca="1" si="76"/>
        <v>1523928.2986807809</v>
      </c>
      <c r="M200" s="129">
        <f t="shared" ca="1" si="76"/>
        <v>1554406.8646543962</v>
      </c>
      <c r="N200" s="129">
        <f t="shared" ca="1" si="76"/>
        <v>1581994.5732894491</v>
      </c>
      <c r="O200" s="129">
        <f t="shared" ca="1" si="76"/>
        <v>1610134.0360972027</v>
      </c>
      <c r="P200" s="129">
        <f t="shared" ca="1" si="76"/>
        <v>1642336.7168191471</v>
      </c>
      <c r="Q200" s="129">
        <f t="shared" ca="1" si="76"/>
        <v>1671613.0139243337</v>
      </c>
      <c r="R200" s="129">
        <f t="shared" ca="1" si="76"/>
        <v>1701474.8369716241</v>
      </c>
      <c r="S200" s="129">
        <f t="shared" ca="1" si="76"/>
        <v>1735504.3337110563</v>
      </c>
      <c r="T200" s="129">
        <f t="shared" ca="1" si="76"/>
        <v>1766572.5744094576</v>
      </c>
      <c r="U200" s="129">
        <f t="shared" ca="1" si="76"/>
        <v>1798262.179921827</v>
      </c>
      <c r="V200" s="129">
        <f t="shared" ca="1" si="76"/>
        <v>1834227.4235202635</v>
      </c>
      <c r="W200" s="129">
        <f t="shared" ca="1" si="76"/>
        <v>1867197.2890953328</v>
      </c>
      <c r="X200" s="129">
        <f t="shared" ca="1" si="76"/>
        <v>1900826.5519819034</v>
      </c>
      <c r="Y200" s="129">
        <f t="shared" ca="1" si="76"/>
        <v>1938843.0830215411</v>
      </c>
      <c r="Z200" s="129">
        <f t="shared" ca="1" si="76"/>
        <v>1973830.9681287291</v>
      </c>
    </row>
    <row r="202" spans="2:26" x14ac:dyDescent="0.35">
      <c r="B202" s="137" t="s">
        <v>317</v>
      </c>
      <c r="C202" s="137"/>
      <c r="D202" s="137"/>
      <c r="E202" s="137"/>
      <c r="F202" s="129">
        <f t="shared" ref="F202:Z202" ca="1" si="77">+F183-F200</f>
        <v>0</v>
      </c>
      <c r="G202" s="129">
        <f t="shared" ca="1" si="77"/>
        <v>0</v>
      </c>
      <c r="H202" s="129">
        <f t="shared" ca="1" si="77"/>
        <v>0</v>
      </c>
      <c r="I202" s="129">
        <f t="shared" ca="1" si="77"/>
        <v>241930.21783919039</v>
      </c>
      <c r="J202" s="129">
        <f t="shared" ca="1" si="77"/>
        <v>568112.15430932119</v>
      </c>
      <c r="K202" s="129">
        <f t="shared" ca="1" si="77"/>
        <v>607109.00841614115</v>
      </c>
      <c r="L202" s="129">
        <f t="shared" ca="1" si="77"/>
        <v>622682.98138645897</v>
      </c>
      <c r="M202" s="129">
        <f t="shared" ca="1" si="77"/>
        <v>635136.64101418806</v>
      </c>
      <c r="N202" s="129">
        <f t="shared" ca="1" si="77"/>
        <v>651339.80249250703</v>
      </c>
      <c r="O202" s="129">
        <f t="shared" ca="1" si="77"/>
        <v>667867.02720039221</v>
      </c>
      <c r="P202" s="129">
        <f t="shared" ca="1" si="77"/>
        <v>681224.36774440063</v>
      </c>
      <c r="Q202" s="129">
        <f t="shared" ca="1" si="77"/>
        <v>698419.29233048484</v>
      </c>
      <c r="R202" s="129">
        <f t="shared" ca="1" si="77"/>
        <v>715958.11540828994</v>
      </c>
      <c r="S202" s="129">
        <f t="shared" ca="1" si="77"/>
        <v>730277.27771645668</v>
      </c>
      <c r="T202" s="129">
        <f t="shared" ca="1" si="77"/>
        <v>748524.66924660583</v>
      </c>
      <c r="U202" s="129">
        <f t="shared" ca="1" si="77"/>
        <v>767137.00860735751</v>
      </c>
      <c r="V202" s="129">
        <f t="shared" ca="1" si="77"/>
        <v>782479.74877950479</v>
      </c>
      <c r="W202" s="129">
        <f t="shared" ca="1" si="77"/>
        <v>801844.0266504311</v>
      </c>
      <c r="X202" s="129">
        <f t="shared" ca="1" si="77"/>
        <v>821595.590078776</v>
      </c>
      <c r="Y202" s="129">
        <f t="shared" ca="1" si="77"/>
        <v>838027.50188035145</v>
      </c>
      <c r="Z202" s="129">
        <f t="shared" ca="1" si="77"/>
        <v>858577.02847120212</v>
      </c>
    </row>
    <row r="204" spans="2:26" x14ac:dyDescent="0.35">
      <c r="B204" s="156" t="s">
        <v>83</v>
      </c>
    </row>
    <row r="205" spans="2:26" x14ac:dyDescent="0.35">
      <c r="B205" s="64" t="s">
        <v>293</v>
      </c>
      <c r="D205" s="115">
        <f>+Assumptions!M113</f>
        <v>0.03</v>
      </c>
      <c r="E205" s="115"/>
      <c r="F205" s="42">
        <f t="shared" ref="F205:Z205" si="78">F$180*$D205</f>
        <v>0</v>
      </c>
      <c r="G205" s="42">
        <f t="shared" si="78"/>
        <v>0</v>
      </c>
      <c r="H205" s="42">
        <f t="shared" si="78"/>
        <v>0</v>
      </c>
      <c r="I205" s="42">
        <f t="shared" si="78"/>
        <v>27199.3248382325</v>
      </c>
      <c r="J205" s="42">
        <f t="shared" si="78"/>
        <v>60350.177664605551</v>
      </c>
      <c r="K205" s="42">
        <f t="shared" si="78"/>
        <v>63135.625884330584</v>
      </c>
      <c r="L205" s="42">
        <f t="shared" si="78"/>
        <v>64398.338402017194</v>
      </c>
      <c r="M205" s="42">
        <f t="shared" si="78"/>
        <v>65686.305170057531</v>
      </c>
      <c r="N205" s="42">
        <f t="shared" si="78"/>
        <v>67000.031273458677</v>
      </c>
      <c r="O205" s="42">
        <f t="shared" si="78"/>
        <v>68340.031898927846</v>
      </c>
      <c r="P205" s="42">
        <f t="shared" si="78"/>
        <v>69706.832536906426</v>
      </c>
      <c r="Q205" s="42">
        <f t="shared" si="78"/>
        <v>71100.969187644558</v>
      </c>
      <c r="R205" s="42">
        <f t="shared" si="78"/>
        <v>72522.988571397422</v>
      </c>
      <c r="S205" s="42">
        <f t="shared" si="78"/>
        <v>73973.448342825388</v>
      </c>
      <c r="T205" s="42">
        <f t="shared" si="78"/>
        <v>75452.917309681899</v>
      </c>
      <c r="U205" s="42">
        <f t="shared" si="78"/>
        <v>76961.975655875533</v>
      </c>
      <c r="V205" s="42">
        <f t="shared" si="78"/>
        <v>78501.215168993047</v>
      </c>
      <c r="W205" s="42">
        <f t="shared" si="78"/>
        <v>80071.239472372908</v>
      </c>
      <c r="X205" s="42">
        <f t="shared" si="78"/>
        <v>81672.664261820377</v>
      </c>
      <c r="Y205" s="42">
        <f t="shared" si="78"/>
        <v>83306.117547056769</v>
      </c>
      <c r="Z205" s="42">
        <f t="shared" si="78"/>
        <v>84972.239897997933</v>
      </c>
    </row>
    <row r="206" spans="2:26" x14ac:dyDescent="0.35">
      <c r="B206" s="138" t="s">
        <v>319</v>
      </c>
      <c r="C206" s="138"/>
      <c r="D206" s="138"/>
      <c r="E206" s="138"/>
      <c r="F206" s="139">
        <f ca="1">+F202-F205</f>
        <v>0</v>
      </c>
      <c r="G206" s="139">
        <f t="shared" ref="G206:Z206" ca="1" si="79">+G202-G205</f>
        <v>0</v>
      </c>
      <c r="H206" s="139">
        <f t="shared" ca="1" si="79"/>
        <v>0</v>
      </c>
      <c r="I206" s="139">
        <f t="shared" ca="1" si="79"/>
        <v>214730.89300095788</v>
      </c>
      <c r="J206" s="139">
        <f t="shared" ca="1" si="79"/>
        <v>507761.97664471564</v>
      </c>
      <c r="K206" s="139">
        <f t="shared" ca="1" si="79"/>
        <v>543973.38253181055</v>
      </c>
      <c r="L206" s="139">
        <f t="shared" ca="1" si="79"/>
        <v>558284.64298444171</v>
      </c>
      <c r="M206" s="139">
        <f t="shared" ca="1" si="79"/>
        <v>569450.33584413049</v>
      </c>
      <c r="N206" s="139">
        <f t="shared" ca="1" si="79"/>
        <v>584339.77121904842</v>
      </c>
      <c r="O206" s="139">
        <f t="shared" ca="1" si="79"/>
        <v>599526.99530146434</v>
      </c>
      <c r="P206" s="139">
        <f t="shared" ca="1" si="79"/>
        <v>611517.53520749416</v>
      </c>
      <c r="Q206" s="139">
        <f t="shared" ca="1" si="79"/>
        <v>627318.32314284029</v>
      </c>
      <c r="R206" s="139">
        <f t="shared" ca="1" si="79"/>
        <v>643435.12683689257</v>
      </c>
      <c r="S206" s="139">
        <f t="shared" ca="1" si="79"/>
        <v>656303.82937363128</v>
      </c>
      <c r="T206" s="139">
        <f t="shared" ca="1" si="79"/>
        <v>673071.75193692395</v>
      </c>
      <c r="U206" s="139">
        <f t="shared" ca="1" si="79"/>
        <v>690175.03295148199</v>
      </c>
      <c r="V206" s="139">
        <f t="shared" ca="1" si="79"/>
        <v>703978.5336105118</v>
      </c>
      <c r="W206" s="139">
        <f t="shared" ca="1" si="79"/>
        <v>721772.78717805818</v>
      </c>
      <c r="X206" s="139">
        <f t="shared" ca="1" si="79"/>
        <v>739922.92581695563</v>
      </c>
      <c r="Y206" s="139">
        <f t="shared" ca="1" si="79"/>
        <v>754721.3843332947</v>
      </c>
      <c r="Z206" s="139">
        <f t="shared" ca="1" si="79"/>
        <v>773604.78857320419</v>
      </c>
    </row>
    <row r="207" spans="2:26" x14ac:dyDescent="0.35">
      <c r="B207" s="143" t="s">
        <v>257</v>
      </c>
      <c r="C207" s="141"/>
      <c r="D207" s="141"/>
      <c r="E207" s="141"/>
      <c r="F207" s="144" t="str">
        <f t="shared" ref="F207:Z207" ca="1" si="80">+IFERROR(F206/F183,"")</f>
        <v/>
      </c>
      <c r="G207" s="144" t="str">
        <f t="shared" ca="1" si="80"/>
        <v/>
      </c>
      <c r="H207" s="144" t="str">
        <f t="shared" ca="1" si="80"/>
        <v/>
      </c>
      <c r="I207" s="144">
        <f t="shared" ca="1" si="80"/>
        <v>0.23684142265817187</v>
      </c>
      <c r="J207" s="144">
        <f t="shared" ca="1" si="80"/>
        <v>0.25240786172988033</v>
      </c>
      <c r="K207" s="144">
        <f t="shared" ca="1" si="80"/>
        <v>0.25847849367728409</v>
      </c>
      <c r="L207" s="144">
        <f t="shared" ca="1" si="80"/>
        <v>0.26007719616890962</v>
      </c>
      <c r="M207" s="144">
        <f t="shared" ca="1" si="80"/>
        <v>0.26007719616890962</v>
      </c>
      <c r="N207" s="144">
        <f t="shared" ca="1" si="80"/>
        <v>0.26164455155285643</v>
      </c>
      <c r="O207" s="144">
        <f t="shared" ca="1" si="80"/>
        <v>0.26318117447829431</v>
      </c>
      <c r="P207" s="144">
        <f t="shared" ca="1" si="80"/>
        <v>0.26318117447829448</v>
      </c>
      <c r="Q207" s="144">
        <f t="shared" ca="1" si="80"/>
        <v>0.26468766754244949</v>
      </c>
      <c r="R207" s="144">
        <f t="shared" ca="1" si="80"/>
        <v>0.266164621526915</v>
      </c>
      <c r="S207" s="144">
        <f t="shared" ca="1" si="80"/>
        <v>0.26616462152691528</v>
      </c>
      <c r="T207" s="144">
        <f t="shared" ca="1" si="80"/>
        <v>0.26761261562933258</v>
      </c>
      <c r="U207" s="144">
        <f t="shared" ca="1" si="80"/>
        <v>0.26903221769052588</v>
      </c>
      <c r="V207" s="144">
        <f t="shared" ca="1" si="80"/>
        <v>0.26903221769052593</v>
      </c>
      <c r="W207" s="144">
        <f t="shared" ca="1" si="80"/>
        <v>0.27042398441718601</v>
      </c>
      <c r="X207" s="144">
        <f t="shared" ca="1" si="80"/>
        <v>0.27178846160018622</v>
      </c>
      <c r="Y207" s="144">
        <f t="shared" ca="1" si="80"/>
        <v>0.27178846160018622</v>
      </c>
      <c r="Z207" s="144">
        <f t="shared" ca="1" si="80"/>
        <v>0.2731261843286179</v>
      </c>
    </row>
    <row r="208" spans="2:26" x14ac:dyDescent="0.35">
      <c r="B208" s="143" t="s">
        <v>191</v>
      </c>
      <c r="C208" s="141"/>
      <c r="D208" s="141"/>
      <c r="E208" s="141"/>
      <c r="F208" s="142">
        <f ca="1">+F202/Assumptions!$P$131</f>
        <v>0</v>
      </c>
      <c r="G208" s="142">
        <f ca="1">+G202/Assumptions!$P$131</f>
        <v>0</v>
      </c>
      <c r="H208" s="142">
        <f ca="1">+H202/Assumptions!$P$131</f>
        <v>0</v>
      </c>
      <c r="I208" s="142">
        <f ca="1">+I202/Assumptions!$P$131</f>
        <v>3024127.7229898795</v>
      </c>
      <c r="J208" s="142">
        <f ca="1">+J202/Assumptions!$P$131</f>
        <v>7101401.9288665149</v>
      </c>
      <c r="K208" s="142">
        <f ca="1">+K202/Assumptions!$P$131</f>
        <v>7588862.605201764</v>
      </c>
      <c r="L208" s="142">
        <f ca="1">+L202/Assumptions!$P$131</f>
        <v>7783537.2673307369</v>
      </c>
      <c r="M208" s="142">
        <f ca="1">+M202/Assumptions!$P$131</f>
        <v>7939208.012677351</v>
      </c>
      <c r="N208" s="142">
        <f ca="1">+N202/Assumptions!$P$131</f>
        <v>8141747.5311563378</v>
      </c>
      <c r="O208" s="142">
        <f ca="1">+O202/Assumptions!$P$131</f>
        <v>8348337.8400049023</v>
      </c>
      <c r="P208" s="142">
        <f ca="1">+P202/Assumptions!$P$131</f>
        <v>8515304.5968050081</v>
      </c>
      <c r="Q208" s="142">
        <f ca="1">+Q202/Assumptions!$P$131</f>
        <v>8730241.1541310605</v>
      </c>
      <c r="R208" s="142">
        <f ca="1">+R202/Assumptions!$P$131</f>
        <v>8949476.4426036235</v>
      </c>
      <c r="S208" s="142">
        <f ca="1">+S202/Assumptions!$P$131</f>
        <v>9128465.9714557081</v>
      </c>
      <c r="T208" s="142">
        <f ca="1">+T202/Assumptions!$P$131</f>
        <v>9356558.3655825723</v>
      </c>
      <c r="U208" s="142">
        <f ca="1">+U202/Assumptions!$P$131</f>
        <v>9589212.607591968</v>
      </c>
      <c r="V208" s="142">
        <f ca="1">+V202/Assumptions!$P$131</f>
        <v>9780996.8597438093</v>
      </c>
      <c r="W208" s="142">
        <f ca="1">+W202/Assumptions!$P$131</f>
        <v>10023050.333130389</v>
      </c>
      <c r="X208" s="142">
        <f ca="1">+X202/Assumptions!$P$131</f>
        <v>10269944.8759847</v>
      </c>
      <c r="Y208" s="142">
        <f ca="1">+Y202/Assumptions!$P$131</f>
        <v>10475343.773504393</v>
      </c>
      <c r="Z208" s="142">
        <f ca="1">+Z202/Assumptions!$P$131</f>
        <v>10732212.855890026</v>
      </c>
    </row>
    <row r="210" spans="2:26" x14ac:dyDescent="0.35">
      <c r="B210" s="148" t="s">
        <v>31</v>
      </c>
      <c r="F210" s="150">
        <f>+Assumptions!$H$22</f>
        <v>45657</v>
      </c>
      <c r="G210" s="150">
        <f>+EOMONTH(F210,12)</f>
        <v>46022</v>
      </c>
      <c r="H210" s="150">
        <f t="shared" ref="H210:Z210" si="81">+EOMONTH(G210,12)</f>
        <v>46387</v>
      </c>
      <c r="I210" s="150">
        <f t="shared" si="81"/>
        <v>46752</v>
      </c>
      <c r="J210" s="150">
        <f t="shared" si="81"/>
        <v>47118</v>
      </c>
      <c r="K210" s="150">
        <f t="shared" si="81"/>
        <v>47483</v>
      </c>
      <c r="L210" s="150">
        <f t="shared" si="81"/>
        <v>47848</v>
      </c>
      <c r="M210" s="150">
        <f t="shared" si="81"/>
        <v>48213</v>
      </c>
      <c r="N210" s="150">
        <f t="shared" si="81"/>
        <v>48579</v>
      </c>
      <c r="O210" s="150">
        <f t="shared" si="81"/>
        <v>48944</v>
      </c>
      <c r="P210" s="150">
        <f t="shared" si="81"/>
        <v>49309</v>
      </c>
      <c r="Q210" s="150">
        <f t="shared" si="81"/>
        <v>49674</v>
      </c>
      <c r="R210" s="150">
        <f t="shared" si="81"/>
        <v>50040</v>
      </c>
      <c r="S210" s="150">
        <f t="shared" si="81"/>
        <v>50405</v>
      </c>
      <c r="T210" s="150">
        <f t="shared" si="81"/>
        <v>50770</v>
      </c>
      <c r="U210" s="150">
        <f t="shared" si="81"/>
        <v>51135</v>
      </c>
      <c r="V210" s="150">
        <f t="shared" si="81"/>
        <v>51501</v>
      </c>
      <c r="W210" s="150">
        <f t="shared" si="81"/>
        <v>51866</v>
      </c>
      <c r="X210" s="150">
        <f t="shared" si="81"/>
        <v>52231</v>
      </c>
      <c r="Y210" s="150">
        <f t="shared" si="81"/>
        <v>52596</v>
      </c>
      <c r="Z210" s="150">
        <f t="shared" si="81"/>
        <v>52962</v>
      </c>
    </row>
    <row r="211" spans="2:26" x14ac:dyDescent="0.35">
      <c r="B211" s="33" t="s">
        <v>337</v>
      </c>
      <c r="F211" s="34">
        <v>0</v>
      </c>
      <c r="G211" s="34">
        <f t="shared" ref="G211:Z211" si="82">+F214</f>
        <v>0</v>
      </c>
      <c r="H211" s="34">
        <f t="shared" si="82"/>
        <v>0</v>
      </c>
      <c r="I211" s="34">
        <f t="shared" si="82"/>
        <v>0</v>
      </c>
      <c r="J211" s="34">
        <f t="shared" ca="1" si="82"/>
        <v>6071090.084161412</v>
      </c>
      <c r="K211" s="34">
        <f t="shared" ca="1" si="82"/>
        <v>6071090.084161412</v>
      </c>
      <c r="L211" s="34">
        <f t="shared" ca="1" si="82"/>
        <v>6071090.084161412</v>
      </c>
      <c r="M211" s="34">
        <f t="shared" ca="1" si="82"/>
        <v>6071090.084161412</v>
      </c>
      <c r="N211" s="34">
        <f t="shared" ca="1" si="82"/>
        <v>6071090.084161412</v>
      </c>
      <c r="O211" s="34">
        <f t="shared" ca="1" si="82"/>
        <v>6071090.084161412</v>
      </c>
      <c r="P211" s="34">
        <f t="shared" ca="1" si="82"/>
        <v>6071090.084161412</v>
      </c>
      <c r="Q211" s="34">
        <f t="shared" ca="1" si="82"/>
        <v>6071090.084161412</v>
      </c>
      <c r="R211" s="34">
        <f t="shared" ca="1" si="82"/>
        <v>6071090.084161412</v>
      </c>
      <c r="S211" s="34">
        <f t="shared" ca="1" si="82"/>
        <v>6071090.084161412</v>
      </c>
      <c r="T211" s="34">
        <f t="shared" ca="1" si="82"/>
        <v>6071090.084161412</v>
      </c>
      <c r="U211" s="34">
        <f t="shared" ca="1" si="82"/>
        <v>6071090.084161412</v>
      </c>
      <c r="V211" s="34">
        <f t="shared" ca="1" si="82"/>
        <v>6071090.084161412</v>
      </c>
      <c r="W211" s="34">
        <f t="shared" ca="1" si="82"/>
        <v>6071090.084161412</v>
      </c>
      <c r="X211" s="34">
        <f t="shared" ca="1" si="82"/>
        <v>6071090.084161412</v>
      </c>
      <c r="Y211" s="34">
        <f t="shared" ca="1" si="82"/>
        <v>6071090.084161412</v>
      </c>
      <c r="Z211" s="34">
        <f t="shared" ca="1" si="82"/>
        <v>6071090.084161412</v>
      </c>
    </row>
    <row r="212" spans="2:26" x14ac:dyDescent="0.35">
      <c r="B212" s="33" t="s">
        <v>348</v>
      </c>
      <c r="F212" s="151">
        <f>+IF(YEAR(F$140)=YEAR(Assumptions!$H$26),'S&amp;U'!$T$18,0)</f>
        <v>0</v>
      </c>
      <c r="G212" s="151">
        <f>+IF(YEAR(G$140)=YEAR(Assumptions!$H$26),'S&amp;U'!$T$18,0)</f>
        <v>0</v>
      </c>
      <c r="H212" s="151">
        <f>+IF(YEAR(H$140)=YEAR(Assumptions!$H$26),'S&amp;U'!$T$18,0)</f>
        <v>0</v>
      </c>
      <c r="I212" s="151">
        <f ca="1">+IF(YEAR(I$140)=YEAR(Assumptions!$H$26),'S&amp;U'!$T$18,0)</f>
        <v>6071090.084161412</v>
      </c>
      <c r="J212" s="151">
        <f>+IF(YEAR(J$140)=YEAR(Assumptions!$H$26),'S&amp;U'!$T$18,0)</f>
        <v>0</v>
      </c>
      <c r="K212" s="151">
        <f>+IF(YEAR(K$140)=YEAR(Assumptions!$H$26),'S&amp;U'!$T$18,0)</f>
        <v>0</v>
      </c>
      <c r="L212" s="151">
        <f>+IF(YEAR(L$140)=YEAR(Assumptions!$H$26),'S&amp;U'!$T$18,0)</f>
        <v>0</v>
      </c>
      <c r="M212" s="151">
        <f>+IF(YEAR(M$140)=YEAR(Assumptions!$H$26),'S&amp;U'!$T$18,0)</f>
        <v>0</v>
      </c>
      <c r="N212" s="151">
        <f>+IF(YEAR(N$140)=YEAR(Assumptions!$H$26),'S&amp;U'!$T$18,0)</f>
        <v>0</v>
      </c>
      <c r="O212" s="151">
        <f>+IF(YEAR(O$140)=YEAR(Assumptions!$H$26),'S&amp;U'!$T$18,0)</f>
        <v>0</v>
      </c>
      <c r="P212" s="151">
        <f>+IF(YEAR(P$140)=YEAR(Assumptions!$H$26),'S&amp;U'!$T$18,0)</f>
        <v>0</v>
      </c>
      <c r="Q212" s="151">
        <f>+IF(YEAR(Q$140)=YEAR(Assumptions!$H$26),'S&amp;U'!$T$18,0)</f>
        <v>0</v>
      </c>
      <c r="R212" s="151">
        <f>+IF(YEAR(R$140)=YEAR(Assumptions!$H$26),'S&amp;U'!$T$18,0)</f>
        <v>0</v>
      </c>
      <c r="S212" s="151">
        <f>+IF(YEAR(S$140)=YEAR(Assumptions!$H$26),'S&amp;U'!$T$18,0)</f>
        <v>0</v>
      </c>
      <c r="T212" s="151">
        <f>+IF(YEAR(T$140)=YEAR(Assumptions!$H$26),'S&amp;U'!$T$18,0)</f>
        <v>0</v>
      </c>
      <c r="U212" s="151">
        <f>+IF(YEAR(U$140)=YEAR(Assumptions!$H$26),'S&amp;U'!$T$18,0)</f>
        <v>0</v>
      </c>
      <c r="V212" s="151">
        <f>+IF(YEAR(V$140)=YEAR(Assumptions!$H$26),'S&amp;U'!$T$18,0)</f>
        <v>0</v>
      </c>
      <c r="W212" s="151">
        <f>+IF(YEAR(W$140)=YEAR(Assumptions!$H$26),'S&amp;U'!$T$18,0)</f>
        <v>0</v>
      </c>
      <c r="X212" s="151">
        <f>+IF(YEAR(X$140)=YEAR(Assumptions!$H$26),'S&amp;U'!$T$18,0)</f>
        <v>0</v>
      </c>
      <c r="Y212" s="151">
        <f>+IF(YEAR(Y$140)=YEAR(Assumptions!$H$26),'S&amp;U'!$T$18,0)</f>
        <v>0</v>
      </c>
      <c r="Z212" s="151">
        <f>+IF(YEAR(Z$140)=YEAR(Assumptions!$H$26),'S&amp;U'!$T$18,0)</f>
        <v>0</v>
      </c>
    </row>
    <row r="213" spans="2:26" x14ac:dyDescent="0.35">
      <c r="B213" s="33" t="s">
        <v>165</v>
      </c>
      <c r="F213" s="151">
        <v>0</v>
      </c>
      <c r="G213" s="151">
        <v>0</v>
      </c>
      <c r="H213" s="151">
        <v>0</v>
      </c>
      <c r="I213" s="151">
        <v>0</v>
      </c>
      <c r="J213" s="151">
        <v>0</v>
      </c>
      <c r="K213" s="151">
        <v>0</v>
      </c>
      <c r="L213" s="151">
        <v>0</v>
      </c>
      <c r="M213" s="151">
        <v>0</v>
      </c>
      <c r="N213" s="151">
        <v>0</v>
      </c>
      <c r="O213" s="151">
        <v>0</v>
      </c>
      <c r="P213" s="151">
        <v>0</v>
      </c>
      <c r="Q213" s="151">
        <v>0</v>
      </c>
      <c r="R213" s="151">
        <v>0</v>
      </c>
      <c r="S213" s="151">
        <v>0</v>
      </c>
      <c r="T213" s="151">
        <v>0</v>
      </c>
      <c r="U213" s="151">
        <v>0</v>
      </c>
      <c r="V213" s="151">
        <v>0</v>
      </c>
      <c r="W213" s="151">
        <v>0</v>
      </c>
      <c r="X213" s="151">
        <v>0</v>
      </c>
      <c r="Y213" s="151">
        <v>0</v>
      </c>
      <c r="Z213" s="151">
        <v>0</v>
      </c>
    </row>
    <row r="214" spans="2:26" x14ac:dyDescent="0.35">
      <c r="B214" s="33" t="s">
        <v>339</v>
      </c>
      <c r="F214" s="151">
        <f t="shared" ref="F214:N214" si="83">+SUM(F211:F213)</f>
        <v>0</v>
      </c>
      <c r="G214" s="151">
        <f t="shared" si="83"/>
        <v>0</v>
      </c>
      <c r="H214" s="151">
        <f t="shared" si="83"/>
        <v>0</v>
      </c>
      <c r="I214" s="151">
        <f t="shared" ca="1" si="83"/>
        <v>6071090.084161412</v>
      </c>
      <c r="J214" s="151">
        <f t="shared" ca="1" si="83"/>
        <v>6071090.084161412</v>
      </c>
      <c r="K214" s="151">
        <f t="shared" ca="1" si="83"/>
        <v>6071090.084161412</v>
      </c>
      <c r="L214" s="151">
        <f t="shared" ca="1" si="83"/>
        <v>6071090.084161412</v>
      </c>
      <c r="M214" s="151">
        <f t="shared" ca="1" si="83"/>
        <v>6071090.084161412</v>
      </c>
      <c r="N214" s="151">
        <f t="shared" ca="1" si="83"/>
        <v>6071090.084161412</v>
      </c>
      <c r="O214" s="151">
        <f t="shared" ref="O214" ca="1" si="84">+SUM(O211:O213)</f>
        <v>6071090.084161412</v>
      </c>
      <c r="P214" s="151">
        <f t="shared" ref="P214:Z214" ca="1" si="85">+SUM(P211:P213)</f>
        <v>6071090.084161412</v>
      </c>
      <c r="Q214" s="151">
        <f t="shared" ca="1" si="85"/>
        <v>6071090.084161412</v>
      </c>
      <c r="R214" s="151">
        <f t="shared" ca="1" si="85"/>
        <v>6071090.084161412</v>
      </c>
      <c r="S214" s="151">
        <f t="shared" ca="1" si="85"/>
        <v>6071090.084161412</v>
      </c>
      <c r="T214" s="151">
        <f t="shared" ca="1" si="85"/>
        <v>6071090.084161412</v>
      </c>
      <c r="U214" s="151">
        <f t="shared" ca="1" si="85"/>
        <v>6071090.084161412</v>
      </c>
      <c r="V214" s="151">
        <f t="shared" ca="1" si="85"/>
        <v>6071090.084161412</v>
      </c>
      <c r="W214" s="151">
        <f t="shared" ca="1" si="85"/>
        <v>6071090.084161412</v>
      </c>
      <c r="X214" s="151">
        <f t="shared" ca="1" si="85"/>
        <v>6071090.084161412</v>
      </c>
      <c r="Y214" s="151">
        <f t="shared" ca="1" si="85"/>
        <v>6071090.084161412</v>
      </c>
      <c r="Z214" s="151">
        <f t="shared" ca="1" si="85"/>
        <v>6071090.084161412</v>
      </c>
    </row>
    <row r="216" spans="2:26" x14ac:dyDescent="0.35">
      <c r="B216" s="41" t="s">
        <v>338</v>
      </c>
      <c r="F216" s="34">
        <f>+F214*Assumptions!$P$157</f>
        <v>0</v>
      </c>
      <c r="G216" s="34">
        <f>+G214*Assumptions!$P$157</f>
        <v>0</v>
      </c>
      <c r="H216" s="34">
        <f>+H214*Assumptions!$P$157</f>
        <v>0</v>
      </c>
      <c r="I216" s="34">
        <f ca="1">+I214*Assumptions!$P$157</f>
        <v>364265.40504968469</v>
      </c>
      <c r="J216" s="34">
        <f ca="1">+J214*Assumptions!$P$157</f>
        <v>364265.40504968469</v>
      </c>
      <c r="K216" s="34">
        <f ca="1">+K214*Assumptions!$P$157</f>
        <v>364265.40504968469</v>
      </c>
      <c r="L216" s="34">
        <f ca="1">+L214*Assumptions!$P$157</f>
        <v>364265.40504968469</v>
      </c>
      <c r="M216" s="34">
        <f ca="1">+M214*Assumptions!$P$157</f>
        <v>364265.40504968469</v>
      </c>
      <c r="N216" s="34">
        <f ca="1">+N214*Assumptions!$P$157</f>
        <v>364265.40504968469</v>
      </c>
      <c r="O216" s="34">
        <f ca="1">+O214*Assumptions!$P$157</f>
        <v>364265.40504968469</v>
      </c>
      <c r="P216" s="34">
        <f ca="1">+P214*Assumptions!$P$157</f>
        <v>364265.40504968469</v>
      </c>
      <c r="Q216" s="34">
        <f ca="1">+Q214*Assumptions!$P$157</f>
        <v>364265.40504968469</v>
      </c>
      <c r="R216" s="34">
        <f ca="1">+R214*Assumptions!$P$157</f>
        <v>364265.40504968469</v>
      </c>
      <c r="S216" s="34">
        <f ca="1">+S214*Assumptions!$P$157</f>
        <v>364265.40504968469</v>
      </c>
      <c r="T216" s="34">
        <f ca="1">+T214*Assumptions!$P$157</f>
        <v>364265.40504968469</v>
      </c>
      <c r="U216" s="34">
        <f ca="1">+U214*Assumptions!$P$157</f>
        <v>364265.40504968469</v>
      </c>
      <c r="V216" s="34">
        <f ca="1">+V214*Assumptions!$P$157</f>
        <v>364265.40504968469</v>
      </c>
      <c r="W216" s="34">
        <f ca="1">+W214*Assumptions!$P$157</f>
        <v>364265.40504968469</v>
      </c>
      <c r="X216" s="34">
        <f ca="1">+X214*Assumptions!$P$157</f>
        <v>364265.40504968469</v>
      </c>
      <c r="Y216" s="34">
        <f ca="1">+Y214*Assumptions!$P$157</f>
        <v>364265.40504968469</v>
      </c>
      <c r="Z216" s="34">
        <f ca="1">+Z214*Assumptions!$P$157</f>
        <v>364265.40504968469</v>
      </c>
    </row>
    <row r="217" spans="2:26" x14ac:dyDescent="0.35">
      <c r="B217" s="137" t="s">
        <v>347</v>
      </c>
      <c r="C217" s="137"/>
      <c r="D217" s="137"/>
      <c r="E217" s="137"/>
      <c r="F217" s="129">
        <f t="shared" ref="F217:K217" si="86">+F216-F213</f>
        <v>0</v>
      </c>
      <c r="G217" s="129">
        <f t="shared" si="86"/>
        <v>0</v>
      </c>
      <c r="H217" s="129">
        <f t="shared" si="86"/>
        <v>0</v>
      </c>
      <c r="I217" s="129">
        <f t="shared" ca="1" si="86"/>
        <v>364265.40504968469</v>
      </c>
      <c r="J217" s="129">
        <f t="shared" ca="1" si="86"/>
        <v>364265.40504968469</v>
      </c>
      <c r="K217" s="129">
        <f t="shared" ca="1" si="86"/>
        <v>364265.40504968469</v>
      </c>
      <c r="L217" s="129">
        <f ca="1">+L216-L213</f>
        <v>364265.40504968469</v>
      </c>
      <c r="M217" s="129">
        <f t="shared" ref="M217:Z217" ca="1" si="87">+M216-M213</f>
        <v>364265.40504968469</v>
      </c>
      <c r="N217" s="129">
        <f t="shared" ca="1" si="87"/>
        <v>364265.40504968469</v>
      </c>
      <c r="O217" s="129">
        <f t="shared" ca="1" si="87"/>
        <v>364265.40504968469</v>
      </c>
      <c r="P217" s="129">
        <f t="shared" ca="1" si="87"/>
        <v>364265.40504968469</v>
      </c>
      <c r="Q217" s="129">
        <f t="shared" ca="1" si="87"/>
        <v>364265.40504968469</v>
      </c>
      <c r="R217" s="129">
        <f t="shared" ca="1" si="87"/>
        <v>364265.40504968469</v>
      </c>
      <c r="S217" s="129">
        <f t="shared" ca="1" si="87"/>
        <v>364265.40504968469</v>
      </c>
      <c r="T217" s="129">
        <f t="shared" ca="1" si="87"/>
        <v>364265.40504968469</v>
      </c>
      <c r="U217" s="129">
        <f t="shared" ca="1" si="87"/>
        <v>364265.40504968469</v>
      </c>
      <c r="V217" s="129">
        <f t="shared" ca="1" si="87"/>
        <v>364265.40504968469</v>
      </c>
      <c r="W217" s="129">
        <f t="shared" ca="1" si="87"/>
        <v>364265.40504968469</v>
      </c>
      <c r="X217" s="129">
        <f t="shared" ca="1" si="87"/>
        <v>364265.40504968469</v>
      </c>
      <c r="Y217" s="129">
        <f t="shared" ca="1" si="87"/>
        <v>364265.40504968469</v>
      </c>
      <c r="Z217" s="129">
        <f t="shared" ca="1" si="87"/>
        <v>364265.40504968469</v>
      </c>
    </row>
    <row r="218" spans="2:26" x14ac:dyDescent="0.35">
      <c r="B218" s="146" t="s">
        <v>184</v>
      </c>
      <c r="F218" s="180" t="str">
        <f t="shared" ref="F218:J218" ca="1" si="88">+IFERROR(F206/F217,"")</f>
        <v/>
      </c>
      <c r="G218" s="180" t="str">
        <f t="shared" ca="1" si="88"/>
        <v/>
      </c>
      <c r="H218" s="180" t="str">
        <f t="shared" ca="1" si="88"/>
        <v/>
      </c>
      <c r="I218" s="180">
        <f t="shared" ca="1" si="88"/>
        <v>0.58949021791314282</v>
      </c>
      <c r="J218" s="180">
        <f t="shared" ca="1" si="88"/>
        <v>1.3939341194793353</v>
      </c>
      <c r="K218" s="180">
        <f ca="1">+IFERROR(K206/K217,"")</f>
        <v>1.4933435209352759</v>
      </c>
      <c r="L218" s="180">
        <f t="shared" ref="L218:Z218" ca="1" si="89">+IFERROR(L206/L217,"")</f>
        <v>1.5326315242818445</v>
      </c>
      <c r="M218" s="180">
        <f t="shared" ca="1" si="89"/>
        <v>1.5632841547674812</v>
      </c>
      <c r="N218" s="180">
        <f t="shared" ca="1" si="89"/>
        <v>1.6041593934492524</v>
      </c>
      <c r="O218" s="180">
        <f t="shared" ca="1" si="89"/>
        <v>1.6458521369046579</v>
      </c>
      <c r="P218" s="180">
        <f t="shared" ca="1" si="89"/>
        <v>1.6787691796427526</v>
      </c>
      <c r="Q218" s="180">
        <f t="shared" ca="1" si="89"/>
        <v>1.7221463099337584</v>
      </c>
      <c r="R218" s="180">
        <f t="shared" ca="1" si="89"/>
        <v>1.7663909828305819</v>
      </c>
      <c r="S218" s="180">
        <f t="shared" ca="1" si="89"/>
        <v>1.801718802487196</v>
      </c>
      <c r="T218" s="180">
        <f t="shared" ca="1" si="89"/>
        <v>1.8477509601690532</v>
      </c>
      <c r="U218" s="180">
        <f t="shared" ca="1" si="89"/>
        <v>1.8947037610045461</v>
      </c>
      <c r="V218" s="180">
        <f t="shared" ca="1" si="89"/>
        <v>1.9325978362246377</v>
      </c>
      <c r="W218" s="180">
        <f t="shared" ca="1" si="89"/>
        <v>1.981447530213885</v>
      </c>
      <c r="X218" s="180">
        <f t="shared" ca="1" si="89"/>
        <v>2.0312742180829177</v>
      </c>
      <c r="Y218" s="180">
        <f t="shared" ca="1" si="89"/>
        <v>2.071899702444576</v>
      </c>
      <c r="Z218" s="180">
        <f t="shared" ca="1" si="89"/>
        <v>2.1237393885035196</v>
      </c>
    </row>
    <row r="220" spans="2:26" x14ac:dyDescent="0.35">
      <c r="B220" s="41" t="s">
        <v>159</v>
      </c>
      <c r="F220" s="34">
        <f>+F212*Assumptions!$P$158</f>
        <v>0</v>
      </c>
      <c r="G220" s="34">
        <f>+G212*Assumptions!$P$158</f>
        <v>0</v>
      </c>
      <c r="H220" s="34">
        <f>+H212*Assumptions!$P$158</f>
        <v>0</v>
      </c>
      <c r="I220" s="34">
        <f ca="1">+I212*Assumptions!$P$158</f>
        <v>60710.900841614122</v>
      </c>
      <c r="J220" s="34">
        <f>+J212*Assumptions!$P$158</f>
        <v>0</v>
      </c>
      <c r="K220" s="34">
        <f>+K212*Assumptions!$P$158</f>
        <v>0</v>
      </c>
      <c r="L220" s="34">
        <f>+L212*Assumptions!$P$158</f>
        <v>0</v>
      </c>
      <c r="M220" s="34">
        <f>+M212*Assumptions!$P$158</f>
        <v>0</v>
      </c>
      <c r="N220" s="34">
        <f>+N212*Assumptions!$P$158</f>
        <v>0</v>
      </c>
      <c r="O220" s="34">
        <f>+O212*Assumptions!$P$158</f>
        <v>0</v>
      </c>
      <c r="P220" s="34">
        <f>+P212*Assumptions!$P$158</f>
        <v>0</v>
      </c>
      <c r="Q220" s="34">
        <f>+Q212*Assumptions!$P$158</f>
        <v>0</v>
      </c>
      <c r="R220" s="34">
        <f>+R212*Assumptions!$P$158</f>
        <v>0</v>
      </c>
      <c r="S220" s="34">
        <f>+S212*Assumptions!$P$158</f>
        <v>0</v>
      </c>
      <c r="T220" s="34">
        <f>+T212*Assumptions!$P$158</f>
        <v>0</v>
      </c>
      <c r="U220" s="34">
        <f>+U212*Assumptions!$P$158</f>
        <v>0</v>
      </c>
      <c r="V220" s="34">
        <f>+V212*Assumptions!$P$158</f>
        <v>0</v>
      </c>
      <c r="W220" s="34">
        <f>+W212*Assumptions!$P$158</f>
        <v>0</v>
      </c>
      <c r="X220" s="34">
        <f>+X212*Assumptions!$P$158</f>
        <v>0</v>
      </c>
      <c r="Y220" s="34">
        <f>+Y212*Assumptions!$P$158</f>
        <v>0</v>
      </c>
      <c r="Z220" s="34">
        <f>+Z212*Assumptions!$P$158</f>
        <v>0</v>
      </c>
    </row>
    <row r="222" spans="2:26" x14ac:dyDescent="0.35">
      <c r="B222" s="137" t="s">
        <v>340</v>
      </c>
      <c r="C222" s="137"/>
      <c r="D222" s="137"/>
      <c r="E222" s="137"/>
      <c r="F222" s="129">
        <f ca="1">+F206-F217-F220</f>
        <v>0</v>
      </c>
      <c r="G222" s="129">
        <f t="shared" ref="G222:Z222" ca="1" si="90">+G206-G217-G220</f>
        <v>0</v>
      </c>
      <c r="H222" s="129">
        <f t="shared" ca="1" si="90"/>
        <v>0</v>
      </c>
      <c r="I222" s="129">
        <f t="shared" ca="1" si="90"/>
        <v>-210245.41289034093</v>
      </c>
      <c r="J222" s="129">
        <f t="shared" ca="1" si="90"/>
        <v>143496.57159503095</v>
      </c>
      <c r="K222" s="129">
        <f t="shared" ca="1" si="90"/>
        <v>179707.97748212586</v>
      </c>
      <c r="L222" s="129">
        <f t="shared" ca="1" si="90"/>
        <v>194019.23793475702</v>
      </c>
      <c r="M222" s="129">
        <f t="shared" ca="1" si="90"/>
        <v>205184.9307944458</v>
      </c>
      <c r="N222" s="129">
        <f t="shared" ca="1" si="90"/>
        <v>220074.36616936373</v>
      </c>
      <c r="O222" s="129">
        <f t="shared" ca="1" si="90"/>
        <v>235261.59025177965</v>
      </c>
      <c r="P222" s="129">
        <f t="shared" ca="1" si="90"/>
        <v>247252.13015780947</v>
      </c>
      <c r="Q222" s="129">
        <f t="shared" ca="1" si="90"/>
        <v>263052.9180931556</v>
      </c>
      <c r="R222" s="129">
        <f t="shared" ca="1" si="90"/>
        <v>279169.72178720788</v>
      </c>
      <c r="S222" s="129">
        <f t="shared" ca="1" si="90"/>
        <v>292038.42432394659</v>
      </c>
      <c r="T222" s="129">
        <f t="shared" ca="1" si="90"/>
        <v>308806.34688723926</v>
      </c>
      <c r="U222" s="129">
        <f t="shared" ca="1" si="90"/>
        <v>325909.6279017973</v>
      </c>
      <c r="V222" s="129">
        <f t="shared" ca="1" si="90"/>
        <v>339713.12856082711</v>
      </c>
      <c r="W222" s="129">
        <f t="shared" ca="1" si="90"/>
        <v>357507.38212837349</v>
      </c>
      <c r="X222" s="129">
        <f t="shared" ca="1" si="90"/>
        <v>375657.52076727094</v>
      </c>
      <c r="Y222" s="129">
        <f t="shared" ca="1" si="90"/>
        <v>390455.97928361001</v>
      </c>
      <c r="Z222" s="129">
        <f t="shared" ca="1" si="90"/>
        <v>409339.3835235195</v>
      </c>
    </row>
    <row r="224" spans="2:26" x14ac:dyDescent="0.35">
      <c r="B224" s="148" t="s">
        <v>341</v>
      </c>
    </row>
    <row r="225" spans="2:26" x14ac:dyDescent="0.35">
      <c r="B225" s="33" t="s">
        <v>342</v>
      </c>
      <c r="F225" s="34">
        <f>+IF(YEAR(F$140)=YEAR(Assumptions!$H$30),F208,0)</f>
        <v>0</v>
      </c>
      <c r="G225" s="34">
        <f>+IF(YEAR(G$140)=YEAR(Assumptions!$H$30),G208,0)</f>
        <v>0</v>
      </c>
      <c r="H225" s="34">
        <f>+IF(YEAR(H$140)=YEAR(Assumptions!$H$30),H208,0)</f>
        <v>0</v>
      </c>
      <c r="I225" s="34">
        <f>+IF(YEAR(I$140)=YEAR(Assumptions!$H$30),I208,0)</f>
        <v>0</v>
      </c>
      <c r="J225" s="34">
        <f>+IF(YEAR(J$140)=YEAR(Assumptions!$H$30),J208,0)</f>
        <v>0</v>
      </c>
      <c r="K225" s="34">
        <f>+IF(YEAR(K$140)=YEAR(Assumptions!$H$30),K208,0)</f>
        <v>0</v>
      </c>
      <c r="L225" s="34">
        <f ca="1">+IF(YEAR(L$140)=YEAR(Assumptions!$H$30),L208,0)</f>
        <v>7783537.2673307369</v>
      </c>
      <c r="M225" s="34">
        <f>+IF(YEAR(M$140)=YEAR(Assumptions!$H$30),M208,0)</f>
        <v>0</v>
      </c>
      <c r="N225" s="34">
        <f>+IF(YEAR(N$140)=YEAR(Assumptions!$H$30),N208,0)</f>
        <v>0</v>
      </c>
      <c r="O225" s="34">
        <f>+IF(YEAR(O$140)=YEAR(Assumptions!$H$30),O208,0)</f>
        <v>0</v>
      </c>
      <c r="P225" s="34">
        <f>+IF(YEAR(P$140)=YEAR(Assumptions!$H$30),P208,0)</f>
        <v>0</v>
      </c>
      <c r="Q225" s="34">
        <f>+IF(YEAR(Q$140)=YEAR(Assumptions!$H$30),Q208,0)</f>
        <v>0</v>
      </c>
      <c r="R225" s="34">
        <f>+IF(YEAR(R$140)=YEAR(Assumptions!$H$30),R208,0)</f>
        <v>0</v>
      </c>
      <c r="S225" s="34">
        <f>+IF(YEAR(S$140)=YEAR(Assumptions!$H$30),S208,0)</f>
        <v>0</v>
      </c>
      <c r="T225" s="34">
        <f>+IF(YEAR(T$140)=YEAR(Assumptions!$H$30),T208,0)</f>
        <v>0</v>
      </c>
      <c r="U225" s="34">
        <f>+IF(YEAR(U$140)=YEAR(Assumptions!$H$30),U208,0)</f>
        <v>0</v>
      </c>
      <c r="V225" s="34">
        <f>+IF(YEAR(V$140)=YEAR(Assumptions!$H$30),V208,0)</f>
        <v>0</v>
      </c>
      <c r="W225" s="34">
        <f>+IF(YEAR(W$140)=YEAR(Assumptions!$H$30),W208,0)</f>
        <v>0</v>
      </c>
      <c r="X225" s="34">
        <f>+IF(YEAR(X$140)=YEAR(Assumptions!$H$30),X208,0)</f>
        <v>0</v>
      </c>
      <c r="Y225" s="34">
        <f>+IF(YEAR(Y$140)=YEAR(Assumptions!$H$30),Y208,0)</f>
        <v>0</v>
      </c>
      <c r="Z225" s="34">
        <f>+IF(YEAR(Z$140)=YEAR(Assumptions!$H$30),Z208,0)</f>
        <v>0</v>
      </c>
    </row>
    <row r="226" spans="2:26" x14ac:dyDescent="0.35">
      <c r="B226" s="33" t="s">
        <v>343</v>
      </c>
      <c r="F226" s="151">
        <f>-F225*Assumptions!$P$136</f>
        <v>0</v>
      </c>
      <c r="G226" s="151">
        <f>-G225*Assumptions!$P$136</f>
        <v>0</v>
      </c>
      <c r="H226" s="151">
        <f>-H225*Assumptions!$P$136</f>
        <v>0</v>
      </c>
      <c r="I226" s="151">
        <f>-I225*Assumptions!$P$136</f>
        <v>0</v>
      </c>
      <c r="J226" s="151">
        <f>-J225*Assumptions!$P$136</f>
        <v>0</v>
      </c>
      <c r="K226" s="151">
        <f>-K225*Assumptions!$P$136</f>
        <v>0</v>
      </c>
      <c r="L226" s="151">
        <f ca="1">-L225*Assumptions!$P$136</f>
        <v>-155670.74534661474</v>
      </c>
      <c r="M226" s="151">
        <f>-M225*Assumptions!$P$136</f>
        <v>0</v>
      </c>
      <c r="N226" s="151">
        <f>-N225*Assumptions!$P$136</f>
        <v>0</v>
      </c>
      <c r="O226" s="151">
        <f>-O225*Assumptions!$P$136</f>
        <v>0</v>
      </c>
      <c r="P226" s="151">
        <f>-P225*Assumptions!$P$136</f>
        <v>0</v>
      </c>
      <c r="Q226" s="151">
        <f>-Q225*Assumptions!$P$136</f>
        <v>0</v>
      </c>
      <c r="R226" s="151">
        <f>-R225*Assumptions!$P$136</f>
        <v>0</v>
      </c>
      <c r="S226" s="151">
        <f>-S225*Assumptions!$P$136</f>
        <v>0</v>
      </c>
      <c r="T226" s="151">
        <f>-T225*Assumptions!$P$136</f>
        <v>0</v>
      </c>
      <c r="U226" s="151">
        <f>-U225*Assumptions!$P$136</f>
        <v>0</v>
      </c>
      <c r="V226" s="151">
        <f>-V225*Assumptions!$P$136</f>
        <v>0</v>
      </c>
      <c r="W226" s="151">
        <f>-W225*Assumptions!$P$136</f>
        <v>0</v>
      </c>
      <c r="X226" s="151">
        <f>-X225*Assumptions!$P$136</f>
        <v>0</v>
      </c>
      <c r="Y226" s="151">
        <f>-Y225*Assumptions!$P$136</f>
        <v>0</v>
      </c>
      <c r="Z226" s="151">
        <f>-Z225*Assumptions!$P$136</f>
        <v>0</v>
      </c>
    </row>
    <row r="227" spans="2:26" x14ac:dyDescent="0.35">
      <c r="B227" s="33" t="s">
        <v>344</v>
      </c>
      <c r="F227" s="151">
        <f>+IF(YEAR(F$140)=YEAR(Assumptions!$H$30),-F214,0)</f>
        <v>0</v>
      </c>
      <c r="G227" s="151">
        <f>+IF(YEAR(G$140)=YEAR(Assumptions!$H$30),-G214,0)</f>
        <v>0</v>
      </c>
      <c r="H227" s="151">
        <f>+IF(YEAR(H$140)=YEAR(Assumptions!$H$30),-H214,0)</f>
        <v>0</v>
      </c>
      <c r="I227" s="151">
        <f>+IF(YEAR(I$140)=YEAR(Assumptions!$H$30),-I214,0)</f>
        <v>0</v>
      </c>
      <c r="J227" s="151">
        <f>+IF(YEAR(J$140)=YEAR(Assumptions!$H$30),-J214,0)</f>
        <v>0</v>
      </c>
      <c r="K227" s="151">
        <f>+IF(YEAR(K$140)=YEAR(Assumptions!$H$30),-K214,0)</f>
        <v>0</v>
      </c>
      <c r="L227" s="151">
        <f ca="1">+IF(YEAR(L$140)=YEAR(Assumptions!$H$30),-L214,0)</f>
        <v>-6071090.084161412</v>
      </c>
      <c r="M227" s="151">
        <f>+IF(YEAR(M$140)=YEAR(Assumptions!$H$30),-M214,0)</f>
        <v>0</v>
      </c>
      <c r="N227" s="151">
        <f>+IF(YEAR(N$140)=YEAR(Assumptions!$H$30),-N214,0)</f>
        <v>0</v>
      </c>
      <c r="O227" s="151">
        <f>+IF(YEAR(O$140)=YEAR(Assumptions!$H$30),-O214,0)</f>
        <v>0</v>
      </c>
      <c r="P227" s="151">
        <f>+IF(YEAR(P$140)=YEAR(Assumptions!$H$30),-P214,0)</f>
        <v>0</v>
      </c>
      <c r="Q227" s="151">
        <f>+IF(YEAR(Q$140)=YEAR(Assumptions!$H$30),-Q214,0)</f>
        <v>0</v>
      </c>
      <c r="R227" s="151">
        <f>+IF(YEAR(R$140)=YEAR(Assumptions!$H$30),-R214,0)</f>
        <v>0</v>
      </c>
      <c r="S227" s="151">
        <f>+IF(YEAR(S$140)=YEAR(Assumptions!$H$30),-S214,0)</f>
        <v>0</v>
      </c>
      <c r="T227" s="151">
        <f>+IF(YEAR(T$140)=YEAR(Assumptions!$H$30),-T214,0)</f>
        <v>0</v>
      </c>
      <c r="U227" s="151">
        <f>+IF(YEAR(U$140)=YEAR(Assumptions!$H$30),-U214,0)</f>
        <v>0</v>
      </c>
      <c r="V227" s="151">
        <f>+IF(YEAR(V$140)=YEAR(Assumptions!$H$30),-V214,0)</f>
        <v>0</v>
      </c>
      <c r="W227" s="151">
        <f>+IF(YEAR(W$140)=YEAR(Assumptions!$H$30),-W214,0)</f>
        <v>0</v>
      </c>
      <c r="X227" s="151">
        <f>+IF(YEAR(X$140)=YEAR(Assumptions!$H$30),-X214,0)</f>
        <v>0</v>
      </c>
      <c r="Y227" s="151">
        <f>+IF(YEAR(Y$140)=YEAR(Assumptions!$H$30),-Y214,0)</f>
        <v>0</v>
      </c>
      <c r="Z227" s="151">
        <f>+IF(YEAR(Z$140)=YEAR(Assumptions!$H$30),-Z214,0)</f>
        <v>0</v>
      </c>
    </row>
    <row r="228" spans="2:26" x14ac:dyDescent="0.35">
      <c r="B228" s="137" t="s">
        <v>345</v>
      </c>
      <c r="C228" s="137"/>
      <c r="D228" s="137"/>
      <c r="E228" s="137"/>
      <c r="F228" s="129">
        <f t="shared" ref="F228:Z228" si="91">+SUM(F225:F227)</f>
        <v>0</v>
      </c>
      <c r="G228" s="129">
        <f t="shared" si="91"/>
        <v>0</v>
      </c>
      <c r="H228" s="129">
        <f t="shared" si="91"/>
        <v>0</v>
      </c>
      <c r="I228" s="129">
        <f t="shared" si="91"/>
        <v>0</v>
      </c>
      <c r="J228" s="129">
        <f t="shared" si="91"/>
        <v>0</v>
      </c>
      <c r="K228" s="129">
        <f t="shared" si="91"/>
        <v>0</v>
      </c>
      <c r="L228" s="129">
        <f t="shared" ca="1" si="91"/>
        <v>1556776.4378227098</v>
      </c>
      <c r="M228" s="129">
        <f t="shared" si="91"/>
        <v>0</v>
      </c>
      <c r="N228" s="129">
        <f t="shared" si="91"/>
        <v>0</v>
      </c>
      <c r="O228" s="129">
        <f t="shared" si="91"/>
        <v>0</v>
      </c>
      <c r="P228" s="129">
        <f t="shared" si="91"/>
        <v>0</v>
      </c>
      <c r="Q228" s="129">
        <f t="shared" si="91"/>
        <v>0</v>
      </c>
      <c r="R228" s="129">
        <f t="shared" si="91"/>
        <v>0</v>
      </c>
      <c r="S228" s="129">
        <f t="shared" si="91"/>
        <v>0</v>
      </c>
      <c r="T228" s="129">
        <f t="shared" si="91"/>
        <v>0</v>
      </c>
      <c r="U228" s="129">
        <f t="shared" si="91"/>
        <v>0</v>
      </c>
      <c r="V228" s="129">
        <f t="shared" si="91"/>
        <v>0</v>
      </c>
      <c r="W228" s="129">
        <f t="shared" si="91"/>
        <v>0</v>
      </c>
      <c r="X228" s="129">
        <f t="shared" si="91"/>
        <v>0</v>
      </c>
      <c r="Y228" s="129">
        <f t="shared" si="91"/>
        <v>0</v>
      </c>
      <c r="Z228" s="129">
        <f t="shared" si="91"/>
        <v>0</v>
      </c>
    </row>
    <row r="230" spans="2:26" x14ac:dyDescent="0.35">
      <c r="B230" s="138" t="s">
        <v>346</v>
      </c>
      <c r="C230" s="138"/>
      <c r="D230" s="138"/>
      <c r="E230" s="138"/>
      <c r="F230" s="139">
        <f ca="1">+IF(YEAR(F$140)&lt;=YEAR(Assumptions!$H$30),'Phase III Pro Forma'!F228+'Phase III Pro Forma'!F222,0)</f>
        <v>0</v>
      </c>
      <c r="G230" s="139">
        <f ca="1">+IF(YEAR(G$140)&lt;=YEAR(Assumptions!$H$30),'Phase III Pro Forma'!G228+'Phase III Pro Forma'!G222,0)</f>
        <v>0</v>
      </c>
      <c r="H230" s="139">
        <f ca="1">+IF(YEAR(H$140)&lt;=YEAR(Assumptions!$H$30),'Phase III Pro Forma'!H228+'Phase III Pro Forma'!H222,0)</f>
        <v>0</v>
      </c>
      <c r="I230" s="139">
        <f ca="1">+IF(YEAR(I$140)&lt;=YEAR(Assumptions!$H$30),'Phase III Pro Forma'!I228+'Phase III Pro Forma'!I222,0)</f>
        <v>-210245.41289034093</v>
      </c>
      <c r="J230" s="139">
        <f ca="1">+IF(YEAR(J$140)&lt;=YEAR(Assumptions!$H$30),'Phase III Pro Forma'!J228+'Phase III Pro Forma'!J222,0)</f>
        <v>143496.57159503095</v>
      </c>
      <c r="K230" s="139">
        <f ca="1">+IF(YEAR(K$140)&lt;=YEAR(Assumptions!$H$30),'Phase III Pro Forma'!K228+'Phase III Pro Forma'!K222,0)</f>
        <v>179707.97748212586</v>
      </c>
      <c r="L230" s="139">
        <f ca="1">+IF(YEAR(L$140)&lt;=YEAR(Assumptions!$H$30),'Phase III Pro Forma'!L228+'Phase III Pro Forma'!L222,0)</f>
        <v>1750795.6757574668</v>
      </c>
      <c r="M230" s="139">
        <f>+IF(YEAR(M$140)&lt;=YEAR(Assumptions!$H$30),'Phase III Pro Forma'!M228+'Phase III Pro Forma'!M222,0)</f>
        <v>0</v>
      </c>
      <c r="N230" s="139">
        <f>+IF(YEAR(N$140)&lt;=YEAR(Assumptions!$H$30),'Phase III Pro Forma'!N228+'Phase III Pro Forma'!N222,0)</f>
        <v>0</v>
      </c>
      <c r="O230" s="139">
        <f>+IF(YEAR(O$140)&lt;=YEAR(Assumptions!$H$30),'Phase III Pro Forma'!O228+'Phase III Pro Forma'!O222,0)</f>
        <v>0</v>
      </c>
      <c r="P230" s="139">
        <f>+IF(YEAR(P$140)&lt;=YEAR(Assumptions!$H$30),'Phase III Pro Forma'!P228+'Phase III Pro Forma'!P222,0)</f>
        <v>0</v>
      </c>
      <c r="Q230" s="139">
        <f>+IF(YEAR(Q$140)&lt;=YEAR(Assumptions!$H$30),'Phase III Pro Forma'!Q228+'Phase III Pro Forma'!Q222,0)</f>
        <v>0</v>
      </c>
      <c r="R230" s="139">
        <f>+IF(YEAR(R$140)&lt;=YEAR(Assumptions!$H$30),'Phase III Pro Forma'!R228+'Phase III Pro Forma'!R222,0)</f>
        <v>0</v>
      </c>
      <c r="S230" s="139">
        <f>+IF(YEAR(S$140)&lt;=YEAR(Assumptions!$H$30),'Phase III Pro Forma'!S228+'Phase III Pro Forma'!S222,0)</f>
        <v>0</v>
      </c>
      <c r="T230" s="139">
        <f>+IF(YEAR(T$140)&lt;=YEAR(Assumptions!$H$30),'Phase III Pro Forma'!T228+'Phase III Pro Forma'!T222,0)</f>
        <v>0</v>
      </c>
      <c r="U230" s="139">
        <f>+IF(YEAR(U$140)&lt;=YEAR(Assumptions!$H$30),'Phase III Pro Forma'!U228+'Phase III Pro Forma'!U222,0)</f>
        <v>0</v>
      </c>
      <c r="V230" s="139">
        <f>+IF(YEAR(V$140)&lt;=YEAR(Assumptions!$H$30),'Phase III Pro Forma'!V228+'Phase III Pro Forma'!V222,0)</f>
        <v>0</v>
      </c>
      <c r="W230" s="139">
        <f>+IF(YEAR(W$140)&lt;=YEAR(Assumptions!$H$30),'Phase III Pro Forma'!W228+'Phase III Pro Forma'!W222,0)</f>
        <v>0</v>
      </c>
      <c r="X230" s="139">
        <f>+IF(YEAR(X$140)&lt;=YEAR(Assumptions!$H$30),'Phase III Pro Forma'!X228+'Phase III Pro Forma'!X222,0)</f>
        <v>0</v>
      </c>
      <c r="Y230" s="139">
        <f>+IF(YEAR(Y$140)&lt;=YEAR(Assumptions!$H$30),'Phase III Pro Forma'!Y228+'Phase III Pro Forma'!Y222,0)</f>
        <v>0</v>
      </c>
      <c r="Z230" s="139">
        <f>+IF(YEAR(Z$140)&lt;=YEAR(Assumptions!$H$30),'Phase III Pro Forma'!Z228+'Phase III Pro Forma'!Z222,0)</f>
        <v>0</v>
      </c>
    </row>
    <row r="232" spans="2:26" x14ac:dyDescent="0.35">
      <c r="B232" s="37" t="s">
        <v>779</v>
      </c>
      <c r="C232" s="38"/>
      <c r="D232" s="38"/>
      <c r="E232" s="38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</row>
    <row r="234" spans="2:26" x14ac:dyDescent="0.35">
      <c r="B234" s="148" t="s">
        <v>238</v>
      </c>
      <c r="C234" s="149"/>
      <c r="D234" s="149"/>
      <c r="E234" s="149"/>
      <c r="F234" s="150">
        <f>+Assumptions!$H$22</f>
        <v>45657</v>
      </c>
      <c r="G234" s="150">
        <f>+EOMONTH(F234,12)</f>
        <v>46022</v>
      </c>
      <c r="H234" s="150">
        <f t="shared" ref="H234:Z234" si="92">+EOMONTH(G234,12)</f>
        <v>46387</v>
      </c>
      <c r="I234" s="150">
        <f t="shared" si="92"/>
        <v>46752</v>
      </c>
      <c r="J234" s="150">
        <f t="shared" si="92"/>
        <v>47118</v>
      </c>
      <c r="K234" s="150">
        <f t="shared" si="92"/>
        <v>47483</v>
      </c>
      <c r="L234" s="150">
        <f t="shared" si="92"/>
        <v>47848</v>
      </c>
      <c r="M234" s="150">
        <f t="shared" si="92"/>
        <v>48213</v>
      </c>
      <c r="N234" s="150">
        <f t="shared" si="92"/>
        <v>48579</v>
      </c>
      <c r="O234" s="150">
        <f t="shared" si="92"/>
        <v>48944</v>
      </c>
      <c r="P234" s="150">
        <f t="shared" si="92"/>
        <v>49309</v>
      </c>
      <c r="Q234" s="150">
        <f t="shared" si="92"/>
        <v>49674</v>
      </c>
      <c r="R234" s="150">
        <f t="shared" si="92"/>
        <v>50040</v>
      </c>
      <c r="S234" s="150">
        <f t="shared" si="92"/>
        <v>50405</v>
      </c>
      <c r="T234" s="150">
        <f t="shared" si="92"/>
        <v>50770</v>
      </c>
      <c r="U234" s="150">
        <f t="shared" si="92"/>
        <v>51135</v>
      </c>
      <c r="V234" s="150">
        <f t="shared" si="92"/>
        <v>51501</v>
      </c>
      <c r="W234" s="150">
        <f t="shared" si="92"/>
        <v>51866</v>
      </c>
      <c r="X234" s="150">
        <f t="shared" si="92"/>
        <v>52231</v>
      </c>
      <c r="Y234" s="150">
        <f t="shared" si="92"/>
        <v>52596</v>
      </c>
      <c r="Z234" s="150">
        <f t="shared" si="92"/>
        <v>52962</v>
      </c>
    </row>
    <row r="235" spans="2:26" x14ac:dyDescent="0.35">
      <c r="B235" s="33" t="s">
        <v>766</v>
      </c>
      <c r="C235" s="33"/>
      <c r="D235" s="40"/>
      <c r="E235" s="40"/>
      <c r="F235" s="42">
        <f>+IF(AND(F234&gt;=Assumptions!$H$26,F234&lt;Assumptions!$H$28),Assumptions!$H$218/ROUNDUP((Assumptions!$H$27/12),0),0)</f>
        <v>0</v>
      </c>
      <c r="G235" s="42">
        <f>+IF(AND(G234&gt;=Assumptions!$H$26,G234&lt;Assumptions!$H$28),Assumptions!$H$218/ROUNDUP((Assumptions!$H$27/12),0),0)</f>
        <v>0</v>
      </c>
      <c r="H235" s="42">
        <f>+IF(AND(H234&gt;=Assumptions!$H$26,H234&lt;Assumptions!$H$28),Assumptions!$H$218/ROUNDUP((Assumptions!$H$27/12),0),0)</f>
        <v>0</v>
      </c>
      <c r="I235" s="42">
        <f>+IF(AND(I234&gt;=Assumptions!$H$26,I234&lt;Assumptions!$H$28),Assumptions!$H$218/ROUNDUP((Assumptions!$H$27/12),0),0)</f>
        <v>117315</v>
      </c>
      <c r="J235" s="42">
        <f>+IF(AND(J234&gt;=Assumptions!$H$26,J234&lt;Assumptions!$H$28),Assumptions!$H$218/ROUNDUP((Assumptions!$H$27/12),0),0)</f>
        <v>117315</v>
      </c>
      <c r="K235" s="42">
        <f>+IF(AND(K234&gt;=Assumptions!$H$26,K234&lt;Assumptions!$H$28),Assumptions!$H$218/ROUNDUP((Assumptions!$H$27/12),0),0)</f>
        <v>0</v>
      </c>
      <c r="L235" s="42">
        <f>+IF(AND(L234&gt;=Assumptions!$H$26,L234&lt;Assumptions!$H$28),Assumptions!$H$218/ROUNDUP((Assumptions!$H$27/12),0),0)</f>
        <v>0</v>
      </c>
      <c r="M235" s="42">
        <f>+IF(AND(M234&gt;=Assumptions!$H$26,M234&lt;Assumptions!$H$28),Assumptions!$H$218/ROUNDUP((Assumptions!$H$27/12),0),0)</f>
        <v>0</v>
      </c>
      <c r="N235" s="42">
        <f>+IF(AND(N234&gt;=Assumptions!$H$26,N234&lt;Assumptions!$H$28),Assumptions!$H$218/ROUNDUP((Assumptions!$H$27/12),0),0)</f>
        <v>0</v>
      </c>
      <c r="O235" s="42">
        <f>+IF(AND(O234&gt;=Assumptions!$H$26,O234&lt;Assumptions!$H$28),Assumptions!$H$218/ROUNDUP((Assumptions!$H$27/12),0),0)</f>
        <v>0</v>
      </c>
      <c r="P235" s="42">
        <f>+IF(AND(P234&gt;=Assumptions!$H$26,P234&lt;Assumptions!$H$28),Assumptions!$H$218/ROUNDUP((Assumptions!$H$27/12),0),0)</f>
        <v>0</v>
      </c>
      <c r="Q235" s="42">
        <f>+IF(AND(Q234&gt;=Assumptions!$H$26,Q234&lt;Assumptions!$H$28),Assumptions!$H$218/ROUNDUP((Assumptions!$H$27/12),0),0)</f>
        <v>0</v>
      </c>
      <c r="R235" s="42">
        <f>+IF(AND(R234&gt;=Assumptions!$H$26,R234&lt;Assumptions!$H$28),Assumptions!$H$218/ROUNDUP((Assumptions!$H$27/12),0),0)</f>
        <v>0</v>
      </c>
      <c r="S235" s="42">
        <f>+IF(AND(S234&gt;=Assumptions!$H$26,S234&lt;Assumptions!$H$28),Assumptions!$H$218/ROUNDUP((Assumptions!$H$27/12),0),0)</f>
        <v>0</v>
      </c>
      <c r="T235" s="42">
        <f>+IF(AND(T234&gt;=Assumptions!$H$26,T234&lt;Assumptions!$H$28),Assumptions!$H$218/ROUNDUP((Assumptions!$H$27/12),0),0)</f>
        <v>0</v>
      </c>
      <c r="U235" s="42">
        <f>+IF(AND(U234&gt;=Assumptions!$H$26,U234&lt;Assumptions!$H$28),Assumptions!$H$218/ROUNDUP((Assumptions!$H$27/12),0),0)</f>
        <v>0</v>
      </c>
      <c r="V235" s="42">
        <f>+IF(AND(V234&gt;=Assumptions!$H$26,V234&lt;Assumptions!$H$28),Assumptions!$H$218/ROUNDUP((Assumptions!$H$27/12),0),0)</f>
        <v>0</v>
      </c>
      <c r="W235" s="42">
        <f>+IF(AND(W234&gt;=Assumptions!$H$26,W234&lt;Assumptions!$H$28),Assumptions!$H$218/ROUNDUP((Assumptions!$H$27/12),0),0)</f>
        <v>0</v>
      </c>
      <c r="X235" s="42">
        <f>+IF(AND(X234&gt;=Assumptions!$H$26,X234&lt;Assumptions!$H$28),Assumptions!$H$218/ROUNDUP((Assumptions!$H$27/12),0),0)</f>
        <v>0</v>
      </c>
      <c r="Y235" s="42">
        <f>+IF(AND(Y234&gt;=Assumptions!$H$26,Y234&lt;Assumptions!$H$28),Assumptions!$H$218/ROUNDUP((Assumptions!$H$27/12),0),0)</f>
        <v>0</v>
      </c>
      <c r="Z235" s="42">
        <f>+IF(AND(Z234&gt;=Assumptions!$H$26,Z234&lt;Assumptions!$H$28),Assumptions!$H$218/ROUNDUP((Assumptions!$H$27/12),0),0)</f>
        <v>0</v>
      </c>
    </row>
    <row r="236" spans="2:26" x14ac:dyDescent="0.35">
      <c r="B236" s="33" t="s">
        <v>249</v>
      </c>
      <c r="C236" s="33"/>
      <c r="D236" s="42">
        <v>0</v>
      </c>
      <c r="E236" s="42"/>
      <c r="F236" s="42">
        <f>+D236+F235</f>
        <v>0</v>
      </c>
      <c r="G236" s="42">
        <f t="shared" ref="G236:Z236" si="93">+F236+G235</f>
        <v>0</v>
      </c>
      <c r="H236" s="42">
        <f t="shared" si="93"/>
        <v>0</v>
      </c>
      <c r="I236" s="42">
        <f t="shared" si="93"/>
        <v>117315</v>
      </c>
      <c r="J236" s="42">
        <f t="shared" si="93"/>
        <v>234630</v>
      </c>
      <c r="K236" s="42">
        <f t="shared" si="93"/>
        <v>234630</v>
      </c>
      <c r="L236" s="42">
        <f t="shared" si="93"/>
        <v>234630</v>
      </c>
      <c r="M236" s="42">
        <f t="shared" si="93"/>
        <v>234630</v>
      </c>
      <c r="N236" s="42">
        <f t="shared" si="93"/>
        <v>234630</v>
      </c>
      <c r="O236" s="42">
        <f t="shared" si="93"/>
        <v>234630</v>
      </c>
      <c r="P236" s="42">
        <f t="shared" si="93"/>
        <v>234630</v>
      </c>
      <c r="Q236" s="42">
        <f t="shared" si="93"/>
        <v>234630</v>
      </c>
      <c r="R236" s="42">
        <f t="shared" si="93"/>
        <v>234630</v>
      </c>
      <c r="S236" s="42">
        <f t="shared" si="93"/>
        <v>234630</v>
      </c>
      <c r="T236" s="42">
        <f t="shared" si="93"/>
        <v>234630</v>
      </c>
      <c r="U236" s="42">
        <f t="shared" si="93"/>
        <v>234630</v>
      </c>
      <c r="V236" s="42">
        <f t="shared" si="93"/>
        <v>234630</v>
      </c>
      <c r="W236" s="42">
        <f t="shared" si="93"/>
        <v>234630</v>
      </c>
      <c r="X236" s="42">
        <f t="shared" si="93"/>
        <v>234630</v>
      </c>
      <c r="Y236" s="42">
        <f t="shared" si="93"/>
        <v>234630</v>
      </c>
      <c r="Z236" s="42">
        <f t="shared" si="93"/>
        <v>234630</v>
      </c>
    </row>
    <row r="237" spans="2:26" x14ac:dyDescent="0.35">
      <c r="B237" s="33" t="s">
        <v>306</v>
      </c>
      <c r="C237" s="33"/>
      <c r="D237" s="42"/>
      <c r="E237" s="42"/>
      <c r="F237" s="108">
        <f t="shared" ref="F237:Z237" si="94">+F236/SUM($F235:$Z235)</f>
        <v>0</v>
      </c>
      <c r="G237" s="108">
        <f t="shared" si="94"/>
        <v>0</v>
      </c>
      <c r="H237" s="108">
        <f t="shared" si="94"/>
        <v>0</v>
      </c>
      <c r="I237" s="108">
        <f t="shared" si="94"/>
        <v>0.5</v>
      </c>
      <c r="J237" s="108">
        <f t="shared" si="94"/>
        <v>1</v>
      </c>
      <c r="K237" s="108">
        <f t="shared" si="94"/>
        <v>1</v>
      </c>
      <c r="L237" s="108">
        <f t="shared" si="94"/>
        <v>1</v>
      </c>
      <c r="M237" s="108">
        <f t="shared" si="94"/>
        <v>1</v>
      </c>
      <c r="N237" s="108">
        <f t="shared" si="94"/>
        <v>1</v>
      </c>
      <c r="O237" s="108">
        <f t="shared" si="94"/>
        <v>1</v>
      </c>
      <c r="P237" s="108">
        <f t="shared" si="94"/>
        <v>1</v>
      </c>
      <c r="Q237" s="108">
        <f t="shared" si="94"/>
        <v>1</v>
      </c>
      <c r="R237" s="108">
        <f t="shared" si="94"/>
        <v>1</v>
      </c>
      <c r="S237" s="108">
        <f t="shared" si="94"/>
        <v>1</v>
      </c>
      <c r="T237" s="108">
        <f t="shared" si="94"/>
        <v>1</v>
      </c>
      <c r="U237" s="108">
        <f t="shared" si="94"/>
        <v>1</v>
      </c>
      <c r="V237" s="108">
        <f t="shared" si="94"/>
        <v>1</v>
      </c>
      <c r="W237" s="108">
        <f t="shared" si="94"/>
        <v>1</v>
      </c>
      <c r="X237" s="108">
        <f t="shared" si="94"/>
        <v>1</v>
      </c>
      <c r="Y237" s="108">
        <f t="shared" si="94"/>
        <v>1</v>
      </c>
      <c r="Z237" s="108">
        <f t="shared" si="94"/>
        <v>1</v>
      </c>
    </row>
    <row r="238" spans="2:26" x14ac:dyDescent="0.35">
      <c r="B238" s="33"/>
      <c r="C238" s="33"/>
      <c r="D238" s="40"/>
      <c r="E238" s="40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2:26" x14ac:dyDescent="0.35">
      <c r="B239" s="33" t="s">
        <v>254</v>
      </c>
      <c r="C239" s="33"/>
      <c r="D239" s="42"/>
      <c r="E239" s="42"/>
      <c r="F239" s="108">
        <v>1</v>
      </c>
      <c r="G239" s="108">
        <f>+IF(MOD(G$2,Assumptions!$P$73)=(Assumptions!$P$73-1),F239*(1+Assumptions!$P$72),'Phase III Pro Forma'!F239)</f>
        <v>1</v>
      </c>
      <c r="H239" s="108">
        <f>+IF(MOD(H$2,Assumptions!$P$73)=(Assumptions!$P$73-1),G239*(1+Assumptions!$P$72),'Phase III Pro Forma'!G239)</f>
        <v>1</v>
      </c>
      <c r="I239" s="108">
        <f>+IF(MOD(I$2,Assumptions!$P$73)=(Assumptions!$P$73-1),H239*(1+Assumptions!$P$72),'Phase III Pro Forma'!H239)</f>
        <v>1</v>
      </c>
      <c r="J239" s="108">
        <f>+IF(MOD(J$2,Assumptions!$P$73)=(Assumptions!$P$73-1),I239*(1+Assumptions!$P$72),'Phase III Pro Forma'!I239)</f>
        <v>1</v>
      </c>
      <c r="K239" s="108">
        <f>+IF(MOD(K$2,Assumptions!$P$73)=(Assumptions!$P$73-1),J239*(1+Assumptions!$P$72),'Phase III Pro Forma'!J239)</f>
        <v>1</v>
      </c>
      <c r="L239" s="108">
        <f>+IF(MOD(L$2,Assumptions!$P$73)=(Assumptions!$P$73-1),K239*(1+Assumptions!$P$72),'Phase III Pro Forma'!K239)</f>
        <v>1.1000000000000001</v>
      </c>
      <c r="M239" s="108">
        <f>+IF(MOD(M$2,Assumptions!$P$73)=(Assumptions!$P$73-1),L239*(1+Assumptions!$P$72),'Phase III Pro Forma'!L239)</f>
        <v>1.1000000000000001</v>
      </c>
      <c r="N239" s="108">
        <f>+IF(MOD(N$2,Assumptions!$P$73)=(Assumptions!$P$73-1),M239*(1+Assumptions!$P$72),'Phase III Pro Forma'!M239)</f>
        <v>1.1000000000000001</v>
      </c>
      <c r="O239" s="108">
        <f>+IF(MOD(O$2,Assumptions!$P$73)=(Assumptions!$P$73-1),N239*(1+Assumptions!$P$72),'Phase III Pro Forma'!N239)</f>
        <v>1.1000000000000001</v>
      </c>
      <c r="P239" s="108">
        <f>+IF(MOD(P$2,Assumptions!$P$73)=(Assumptions!$P$73-1),O239*(1+Assumptions!$P$72),'Phase III Pro Forma'!O239)</f>
        <v>1.1000000000000001</v>
      </c>
      <c r="Q239" s="108">
        <f>+IF(MOD(Q$2,Assumptions!$P$73)=(Assumptions!$P$73-1),P239*(1+Assumptions!$P$72),'Phase III Pro Forma'!P239)</f>
        <v>1.2100000000000002</v>
      </c>
      <c r="R239" s="108">
        <f>+IF(MOD(R$2,Assumptions!$P$73)=(Assumptions!$P$73-1),Q239*(1+Assumptions!$P$72),'Phase III Pro Forma'!Q239)</f>
        <v>1.2100000000000002</v>
      </c>
      <c r="S239" s="108">
        <f>+IF(MOD(S$2,Assumptions!$P$73)=(Assumptions!$P$73-1),R239*(1+Assumptions!$P$72),'Phase III Pro Forma'!R239)</f>
        <v>1.2100000000000002</v>
      </c>
      <c r="T239" s="108">
        <f>+IF(MOD(T$2,Assumptions!$P$73)=(Assumptions!$P$73-1),S239*(1+Assumptions!$P$72),'Phase III Pro Forma'!S239)</f>
        <v>1.2100000000000002</v>
      </c>
      <c r="U239" s="108">
        <f>+IF(MOD(U$2,Assumptions!$P$73)=(Assumptions!$P$73-1),T239*(1+Assumptions!$P$72),'Phase III Pro Forma'!T239)</f>
        <v>1.2100000000000002</v>
      </c>
      <c r="V239" s="108">
        <f>+IF(MOD(V$2,Assumptions!$P$73)=(Assumptions!$P$73-1),U239*(1+Assumptions!$P$72),'Phase III Pro Forma'!U239)</f>
        <v>1.3310000000000004</v>
      </c>
      <c r="W239" s="108">
        <f>+IF(MOD(W$2,Assumptions!$P$73)=(Assumptions!$P$73-1),V239*(1+Assumptions!$P$72),'Phase III Pro Forma'!V239)</f>
        <v>1.3310000000000004</v>
      </c>
      <c r="X239" s="108">
        <f>+IF(MOD(X$2,Assumptions!$P$73)=(Assumptions!$P$73-1),W239*(1+Assumptions!$P$72),'Phase III Pro Forma'!W239)</f>
        <v>1.3310000000000004</v>
      </c>
      <c r="Y239" s="108">
        <f>+IF(MOD(Y$2,Assumptions!$P$73)=(Assumptions!$P$73-1),X239*(1+Assumptions!$P$72),'Phase III Pro Forma'!X239)</f>
        <v>1.3310000000000004</v>
      </c>
      <c r="Z239" s="108">
        <f>+IF(MOD(Z$2,Assumptions!$P$73)=(Assumptions!$P$73-1),Y239*(1+Assumptions!$P$72),'Phase III Pro Forma'!Y239)</f>
        <v>1.3310000000000004</v>
      </c>
    </row>
    <row r="240" spans="2:26" x14ac:dyDescent="0.35">
      <c r="B240" s="33" t="s">
        <v>255</v>
      </c>
      <c r="C240" s="33"/>
      <c r="D240" s="42"/>
      <c r="E240" s="42"/>
      <c r="F240" s="108">
        <v>1</v>
      </c>
      <c r="G240" s="108">
        <f>+F240*(1+Assumptions!$P$81)</f>
        <v>1.03</v>
      </c>
      <c r="H240" s="108">
        <f>+G240*(1+Assumptions!$P$81)</f>
        <v>1.0609</v>
      </c>
      <c r="I240" s="108">
        <f>+H240*(1+Assumptions!$P$81)</f>
        <v>1.092727</v>
      </c>
      <c r="J240" s="108">
        <f>+I240*(1+Assumptions!$P$81)</f>
        <v>1.1255088100000001</v>
      </c>
      <c r="K240" s="108">
        <f>+J240*(1+Assumptions!$P$81)</f>
        <v>1.1592740743000001</v>
      </c>
      <c r="L240" s="108">
        <f>+K240*(1+Assumptions!$P$81)</f>
        <v>1.1940522965290001</v>
      </c>
      <c r="M240" s="108">
        <f>+L240*(1+Assumptions!$P$81)</f>
        <v>1.2298738654248702</v>
      </c>
      <c r="N240" s="108">
        <f>+M240*(1+Assumptions!$P$81)</f>
        <v>1.2667700813876164</v>
      </c>
      <c r="O240" s="108">
        <f>+N240*(1+Assumptions!$P$81)</f>
        <v>1.3047731838292449</v>
      </c>
      <c r="P240" s="108">
        <f>+O240*(1+Assumptions!$P$81)</f>
        <v>1.3439163793441222</v>
      </c>
      <c r="Q240" s="108">
        <f>+P240*(1+Assumptions!$P$81)</f>
        <v>1.3842338707244459</v>
      </c>
      <c r="R240" s="108">
        <f>+Q240*(1+Assumptions!$P$81)</f>
        <v>1.4257608868461793</v>
      </c>
      <c r="S240" s="108">
        <f>+R240*(1+Assumptions!$P$81)</f>
        <v>1.4685337134515648</v>
      </c>
      <c r="T240" s="108">
        <f>+S240*(1+Assumptions!$P$81)</f>
        <v>1.5125897248551119</v>
      </c>
      <c r="U240" s="108">
        <f>+T240*(1+Assumptions!$P$81)</f>
        <v>1.5579674166007653</v>
      </c>
      <c r="V240" s="108">
        <f>+U240*(1+Assumptions!$P$81)</f>
        <v>1.6047064390987884</v>
      </c>
      <c r="W240" s="108">
        <f>+V240*(1+Assumptions!$P$81)</f>
        <v>1.652847632271752</v>
      </c>
      <c r="X240" s="108">
        <f>+W240*(1+Assumptions!$P$81)</f>
        <v>1.7024330612399046</v>
      </c>
      <c r="Y240" s="108">
        <f>+X240*(1+Assumptions!$P$81)</f>
        <v>1.7535060530771018</v>
      </c>
      <c r="Z240" s="108">
        <f>+Y240*(1+Assumptions!$P$81)</f>
        <v>1.806111234669415</v>
      </c>
    </row>
    <row r="241" spans="2:26" x14ac:dyDescent="0.35">
      <c r="B241" s="33"/>
      <c r="C241" s="33"/>
      <c r="D241" s="40"/>
      <c r="E241" s="40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2:26" x14ac:dyDescent="0.35">
      <c r="B242" s="33" t="s">
        <v>246</v>
      </c>
      <c r="C242" s="33"/>
      <c r="D242" s="40"/>
      <c r="E242" s="40"/>
      <c r="F242" s="34">
        <f>+F237*Assumptions!$H$217*F239</f>
        <v>0</v>
      </c>
      <c r="G242" s="34">
        <f>+G237*Assumptions!$H$217*G239</f>
        <v>0</v>
      </c>
      <c r="H242" s="34">
        <f>+H237*Assumptions!$H$217*H239</f>
        <v>0</v>
      </c>
      <c r="I242" s="34">
        <f>+I237*Assumptions!$H$217*I239</f>
        <v>1523826.3462048001</v>
      </c>
      <c r="J242" s="34">
        <f>+J237*Assumptions!$H$217*J239</f>
        <v>3047652.6924096001</v>
      </c>
      <c r="K242" s="34">
        <f>+K237*Assumptions!$H$217*K239</f>
        <v>3047652.6924096001</v>
      </c>
      <c r="L242" s="34">
        <f>+L237*Assumptions!$H$217*L239</f>
        <v>3352417.9616505606</v>
      </c>
      <c r="M242" s="34">
        <f>+M237*Assumptions!$H$217*M239</f>
        <v>3352417.9616505606</v>
      </c>
      <c r="N242" s="34">
        <f>+N237*Assumptions!$H$217*N239</f>
        <v>3352417.9616505606</v>
      </c>
      <c r="O242" s="34">
        <f>+O237*Assumptions!$H$217*O239</f>
        <v>3352417.9616505606</v>
      </c>
      <c r="P242" s="34">
        <f>+P237*Assumptions!$H$217*P239</f>
        <v>3352417.9616505606</v>
      </c>
      <c r="Q242" s="34">
        <f>+Q237*Assumptions!$H$217*Q239</f>
        <v>3687659.7578156167</v>
      </c>
      <c r="R242" s="34">
        <f>+R237*Assumptions!$H$217*R239</f>
        <v>3687659.7578156167</v>
      </c>
      <c r="S242" s="34">
        <f>+S237*Assumptions!$H$217*S239</f>
        <v>3687659.7578156167</v>
      </c>
      <c r="T242" s="34">
        <f>+T237*Assumptions!$H$217*T239</f>
        <v>3687659.7578156167</v>
      </c>
      <c r="U242" s="34">
        <f>+U237*Assumptions!$H$217*U239</f>
        <v>3687659.7578156167</v>
      </c>
      <c r="V242" s="34">
        <f>+V237*Assumptions!$H$217*V239</f>
        <v>4056425.7335971789</v>
      </c>
      <c r="W242" s="34">
        <f>+W237*Assumptions!$H$217*W239</f>
        <v>4056425.7335971789</v>
      </c>
      <c r="X242" s="34">
        <f>+X237*Assumptions!$H$217*X239</f>
        <v>4056425.7335971789</v>
      </c>
      <c r="Y242" s="34">
        <f>+Y237*Assumptions!$H$217*Y239</f>
        <v>4056425.7335971789</v>
      </c>
      <c r="Z242" s="34">
        <f>+Z237*Assumptions!$H$217*Z239</f>
        <v>4056425.7335971789</v>
      </c>
    </row>
    <row r="243" spans="2:26" x14ac:dyDescent="0.35">
      <c r="B243" s="33" t="s">
        <v>247</v>
      </c>
      <c r="C243" s="33"/>
      <c r="D243" s="40"/>
      <c r="E243" s="40"/>
      <c r="F243" s="42">
        <f>-F242*Assumptions!$P$59</f>
        <v>0</v>
      </c>
      <c r="G243" s="42">
        <f>-G242*Assumptions!$P$59</f>
        <v>0</v>
      </c>
      <c r="H243" s="42">
        <f>-H242*Assumptions!$P$59</f>
        <v>0</v>
      </c>
      <c r="I243" s="42">
        <f>-I242*Assumptions!$P$59</f>
        <v>-91429.580772287998</v>
      </c>
      <c r="J243" s="42">
        <f>-J242*Assumptions!$P$59</f>
        <v>-182859.161544576</v>
      </c>
      <c r="K243" s="42">
        <f>-K242*Assumptions!$P$59</f>
        <v>-182859.161544576</v>
      </c>
      <c r="L243" s="42">
        <f>-L242*Assumptions!$P$59</f>
        <v>-201145.07769903363</v>
      </c>
      <c r="M243" s="42">
        <f>-M242*Assumptions!$P$59</f>
        <v>-201145.07769903363</v>
      </c>
      <c r="N243" s="42">
        <f>-N242*Assumptions!$P$59</f>
        <v>-201145.07769903363</v>
      </c>
      <c r="O243" s="42">
        <f>-O242*Assumptions!$P$59</f>
        <v>-201145.07769903363</v>
      </c>
      <c r="P243" s="42">
        <f>-P242*Assumptions!$P$59</f>
        <v>-201145.07769903363</v>
      </c>
      <c r="Q243" s="42">
        <f>-Q242*Assumptions!$P$59</f>
        <v>-221259.585468937</v>
      </c>
      <c r="R243" s="42">
        <f>-R242*Assumptions!$P$59</f>
        <v>-221259.585468937</v>
      </c>
      <c r="S243" s="42">
        <f>-S242*Assumptions!$P$59</f>
        <v>-221259.585468937</v>
      </c>
      <c r="T243" s="42">
        <f>-T242*Assumptions!$P$59</f>
        <v>-221259.585468937</v>
      </c>
      <c r="U243" s="42">
        <f>-U242*Assumptions!$P$59</f>
        <v>-221259.585468937</v>
      </c>
      <c r="V243" s="42">
        <f>-V242*Assumptions!$P$59</f>
        <v>-243385.54401583073</v>
      </c>
      <c r="W243" s="42">
        <f>-W242*Assumptions!$P$59</f>
        <v>-243385.54401583073</v>
      </c>
      <c r="X243" s="42">
        <f>-X242*Assumptions!$P$59</f>
        <v>-243385.54401583073</v>
      </c>
      <c r="Y243" s="42">
        <f>-Y242*Assumptions!$P$59</f>
        <v>-243385.54401583073</v>
      </c>
      <c r="Z243" s="42">
        <f>-Z242*Assumptions!$P$59</f>
        <v>-243385.54401583073</v>
      </c>
    </row>
    <row r="244" spans="2:26" x14ac:dyDescent="0.35">
      <c r="B244" s="33" t="s">
        <v>262</v>
      </c>
      <c r="C244" s="33"/>
      <c r="D244" s="40"/>
      <c r="E244" s="40"/>
      <c r="F244" s="151">
        <f ca="1">+F249*Assumptions!$P$92</f>
        <v>0</v>
      </c>
      <c r="G244" s="151">
        <f ca="1">+G249*Assumptions!$P$92</f>
        <v>0</v>
      </c>
      <c r="H244" s="151">
        <f ca="1">+H249*Assumptions!$P$92</f>
        <v>0</v>
      </c>
      <c r="I244" s="151">
        <f ca="1">+I249*Assumptions!$P$92</f>
        <v>720493.33603014029</v>
      </c>
      <c r="J244" s="151">
        <f ca="1">+J249*Assumptions!$P$92</f>
        <v>1475356.8261408508</v>
      </c>
      <c r="K244" s="151">
        <f ca="1">+K249*Assumptions!$P$92</f>
        <v>1492507.6259164866</v>
      </c>
      <c r="L244" s="151">
        <f ca="1">+L249*Assumptions!$P$92</f>
        <v>1510172.949685392</v>
      </c>
      <c r="M244" s="151">
        <f ca="1">+M249*Assumptions!$P$92</f>
        <v>1546441.5031730905</v>
      </c>
      <c r="N244" s="151">
        <f ca="1">+N249*Assumptions!$P$92</f>
        <v>1565182.6451595221</v>
      </c>
      <c r="O244" s="151">
        <f ca="1">+O249*Assumptions!$P$92</f>
        <v>1584486.0214055467</v>
      </c>
      <c r="P244" s="151">
        <f ca="1">+P249*Assumptions!$P$92</f>
        <v>1622803.2343447926</v>
      </c>
      <c r="Q244" s="151">
        <f ca="1">+Q249*Assumptions!$P$92</f>
        <v>1643282.1862042001</v>
      </c>
      <c r="R244" s="151">
        <f ca="1">+R249*Assumptions!$P$92</f>
        <v>1664375.5066193896</v>
      </c>
      <c r="S244" s="151">
        <f ca="1">+S249*Assumptions!$P$92</f>
        <v>1704905.0567609924</v>
      </c>
      <c r="T244" s="151">
        <f ca="1">+T249*Assumptions!$P$92</f>
        <v>1727282.9603894674</v>
      </c>
      <c r="U244" s="151">
        <f ca="1">+U249*Assumptions!$P$92</f>
        <v>1750332.2011267962</v>
      </c>
      <c r="V244" s="151">
        <f ca="1">+V249*Assumptions!$P$92</f>
        <v>1793252.4178024819</v>
      </c>
      <c r="W244" s="151">
        <f ca="1">+W249*Assumptions!$P$92</f>
        <v>1817705.3573007141</v>
      </c>
      <c r="X244" s="151">
        <f ca="1">+X249*Assumptions!$P$92</f>
        <v>1842891.8849838935</v>
      </c>
      <c r="Y244" s="151">
        <f ca="1">+Y249*Assumptions!$P$92</f>
        <v>1888397.0971881296</v>
      </c>
      <c r="Z244" s="151">
        <f ca="1">+Z249*Assumptions!$P$92</f>
        <v>1915117.4844072144</v>
      </c>
    </row>
    <row r="245" spans="2:26" x14ac:dyDescent="0.35">
      <c r="B245" s="137" t="s">
        <v>256</v>
      </c>
      <c r="C245" s="137"/>
      <c r="D245" s="137"/>
      <c r="E245" s="137"/>
      <c r="F245" s="129">
        <f t="shared" ref="F245:Z245" ca="1" si="95">+SUM(F242:F244)</f>
        <v>0</v>
      </c>
      <c r="G245" s="129">
        <f t="shared" ca="1" si="95"/>
        <v>0</v>
      </c>
      <c r="H245" s="129">
        <f t="shared" ca="1" si="95"/>
        <v>0</v>
      </c>
      <c r="I245" s="129">
        <f t="shared" ca="1" si="95"/>
        <v>2152890.1014626524</v>
      </c>
      <c r="J245" s="129">
        <f t="shared" ca="1" si="95"/>
        <v>4340150.3570058756</v>
      </c>
      <c r="K245" s="129">
        <f t="shared" ca="1" si="95"/>
        <v>4357301.1567815114</v>
      </c>
      <c r="L245" s="129">
        <f t="shared" ca="1" si="95"/>
        <v>4661445.833636919</v>
      </c>
      <c r="M245" s="129">
        <f t="shared" ca="1" si="95"/>
        <v>4697714.3871246176</v>
      </c>
      <c r="N245" s="129">
        <f t="shared" ca="1" si="95"/>
        <v>4716455.5291110491</v>
      </c>
      <c r="O245" s="129">
        <f t="shared" ca="1" si="95"/>
        <v>4735758.905357074</v>
      </c>
      <c r="P245" s="129">
        <f t="shared" ca="1" si="95"/>
        <v>4774076.1182963196</v>
      </c>
      <c r="Q245" s="129">
        <f t="shared" ca="1" si="95"/>
        <v>5109682.3585508801</v>
      </c>
      <c r="R245" s="129">
        <f t="shared" ca="1" si="95"/>
        <v>5130775.6789660696</v>
      </c>
      <c r="S245" s="129">
        <f t="shared" ca="1" si="95"/>
        <v>5171305.2291076723</v>
      </c>
      <c r="T245" s="129">
        <f t="shared" ca="1" si="95"/>
        <v>5193683.1327361465</v>
      </c>
      <c r="U245" s="129">
        <f t="shared" ca="1" si="95"/>
        <v>5216732.3734734757</v>
      </c>
      <c r="V245" s="129">
        <f t="shared" ca="1" si="95"/>
        <v>5606292.6073838305</v>
      </c>
      <c r="W245" s="129">
        <f t="shared" ca="1" si="95"/>
        <v>5630745.5468820622</v>
      </c>
      <c r="X245" s="129">
        <f t="shared" ca="1" si="95"/>
        <v>5655932.0745652411</v>
      </c>
      <c r="Y245" s="129">
        <f t="shared" ca="1" si="95"/>
        <v>5701437.2867694777</v>
      </c>
      <c r="Z245" s="129">
        <f t="shared" ca="1" si="95"/>
        <v>5728157.6739885621</v>
      </c>
    </row>
    <row r="247" spans="2:26" x14ac:dyDescent="0.35">
      <c r="B247" s="33" t="s">
        <v>395</v>
      </c>
      <c r="F247" s="34">
        <f>+F236*Assumptions!$P$124*'Phase III Pro Forma'!F240</f>
        <v>0</v>
      </c>
      <c r="G247" s="34">
        <f>+G236*Assumptions!$P$124*'Phase III Pro Forma'!G240</f>
        <v>0</v>
      </c>
      <c r="H247" s="34">
        <f>+H236*Assumptions!$P$124*'Phase III Pro Forma'!H240</f>
        <v>0</v>
      </c>
      <c r="I247" s="34">
        <f>+I236*Assumptions!$P$124*'Phase III Pro Forma'!I240</f>
        <v>277521.03196822206</v>
      </c>
      <c r="J247" s="34">
        <f>+J236*Assumptions!$P$124*'Phase III Pro Forma'!J240</f>
        <v>571693.32585453754</v>
      </c>
      <c r="K247" s="34">
        <f>+K236*Assumptions!$P$124*'Phase III Pro Forma'!K240</f>
        <v>588844.1256301736</v>
      </c>
      <c r="L247" s="34">
        <f>+L236*Assumptions!$P$124*'Phase III Pro Forma'!L240</f>
        <v>606509.44939907885</v>
      </c>
      <c r="M247" s="34">
        <f>+M236*Assumptions!$P$124*'Phase III Pro Forma'!M240</f>
        <v>624704.73288105126</v>
      </c>
      <c r="N247" s="34">
        <f>+N236*Assumptions!$P$124*'Phase III Pro Forma'!N240</f>
        <v>643445.87486748281</v>
      </c>
      <c r="O247" s="34">
        <f>+O236*Assumptions!$P$124*'Phase III Pro Forma'!O240</f>
        <v>662749.25111350731</v>
      </c>
      <c r="P247" s="34">
        <f>+P236*Assumptions!$P$124*'Phase III Pro Forma'!P240</f>
        <v>682631.7286469125</v>
      </c>
      <c r="Q247" s="34">
        <f>+Q236*Assumptions!$P$124*'Phase III Pro Forma'!Q240</f>
        <v>703110.68050631997</v>
      </c>
      <c r="R247" s="34">
        <f>+R236*Assumptions!$P$124*'Phase III Pro Forma'!R240</f>
        <v>724204.00092150946</v>
      </c>
      <c r="S247" s="34">
        <f>+S236*Assumptions!$P$124*'Phase III Pro Forma'!S240</f>
        <v>745930.12094915484</v>
      </c>
      <c r="T247" s="34">
        <f>+T236*Assumptions!$P$124*'Phase III Pro Forma'!T240</f>
        <v>768308.02457762964</v>
      </c>
      <c r="U247" s="34">
        <f>+U236*Assumptions!$P$124*'Phase III Pro Forma'!U240</f>
        <v>791357.26531495852</v>
      </c>
      <c r="V247" s="34">
        <f>+V236*Assumptions!$P$124*'Phase III Pro Forma'!V240</f>
        <v>815097.98327440734</v>
      </c>
      <c r="W247" s="34">
        <f>+W236*Assumptions!$P$124*'Phase III Pro Forma'!W240</f>
        <v>839550.92277263955</v>
      </c>
      <c r="X247" s="34">
        <f>+X236*Assumptions!$P$124*'Phase III Pro Forma'!X240</f>
        <v>864737.45045581867</v>
      </c>
      <c r="Y247" s="34">
        <f>+Y236*Assumptions!$P$124*'Phase III Pro Forma'!Y240</f>
        <v>890679.57396949339</v>
      </c>
      <c r="Z247" s="34">
        <f>+Z236*Assumptions!$P$124*'Phase III Pro Forma'!Z240</f>
        <v>917399.96118857816</v>
      </c>
    </row>
    <row r="248" spans="2:26" x14ac:dyDescent="0.35">
      <c r="B248" s="33" t="s">
        <v>331</v>
      </c>
      <c r="F248" s="151">
        <f ca="1">+IFERROR(INDEX('Taxes and TIF'!$AR$11:$AR$45,MATCH('Phase III Pro Forma'!F$7,'Taxes and TIF'!$AG$11:$AG$45,0)),0)*'Loan Sizing'!$M$52*F237</f>
        <v>0</v>
      </c>
      <c r="G248" s="151">
        <f ca="1">+IFERROR(INDEX('Taxes and TIF'!$AR$11:$AR$45,MATCH('Phase III Pro Forma'!G$7,'Taxes and TIF'!$AG$11:$AG$45,0)),0)*'Loan Sizing'!$M$52*G237</f>
        <v>0</v>
      </c>
      <c r="H248" s="151">
        <f ca="1">+IFERROR(INDEX('Taxes and TIF'!$AR$11:$AR$45,MATCH('Phase III Pro Forma'!H$7,'Taxes and TIF'!$AG$11:$AG$45,0)),0)*'Loan Sizing'!$M$52*H237</f>
        <v>0</v>
      </c>
      <c r="I248" s="151">
        <f ca="1">+IFERROR(INDEX('Taxes and TIF'!$AR$11:$AR$45,MATCH('Phase III Pro Forma'!I$7,'Taxes and TIF'!$AG$11:$AG$45,0)),0)*'Loan Sizing'!$M$52*I237</f>
        <v>442972.30406191823</v>
      </c>
      <c r="J248" s="151">
        <f ca="1">+IFERROR(INDEX('Taxes and TIF'!$AR$11:$AR$45,MATCH('Phase III Pro Forma'!J$7,'Taxes and TIF'!$AG$11:$AG$45,0)),0)*'Loan Sizing'!$M$52*J237</f>
        <v>903663.50028631324</v>
      </c>
      <c r="K248" s="151">
        <f ca="1">+IFERROR(INDEX('Taxes and TIF'!$AR$11:$AR$45,MATCH('Phase III Pro Forma'!K$7,'Taxes and TIF'!$AG$11:$AG$45,0)),0)*'Loan Sizing'!$M$52*K237</f>
        <v>903663.50028631324</v>
      </c>
      <c r="L248" s="151">
        <f ca="1">+IFERROR(INDEX('Taxes and TIF'!$AR$11:$AR$45,MATCH('Phase III Pro Forma'!L$7,'Taxes and TIF'!$AG$11:$AG$45,0)),0)*'Loan Sizing'!$M$52*L237</f>
        <v>903663.50028631324</v>
      </c>
      <c r="M248" s="151">
        <f ca="1">+IFERROR(INDEX('Taxes and TIF'!$AR$11:$AR$45,MATCH('Phase III Pro Forma'!M$7,'Taxes and TIF'!$AG$11:$AG$45,0)),0)*'Loan Sizing'!$M$52*M237</f>
        <v>921736.77029203938</v>
      </c>
      <c r="N248" s="151">
        <f ca="1">+IFERROR(INDEX('Taxes and TIF'!$AR$11:$AR$45,MATCH('Phase III Pro Forma'!N$7,'Taxes and TIF'!$AG$11:$AG$45,0)),0)*'Loan Sizing'!$M$52*N237</f>
        <v>921736.77029203938</v>
      </c>
      <c r="O248" s="151">
        <f ca="1">+IFERROR(INDEX('Taxes and TIF'!$AR$11:$AR$45,MATCH('Phase III Pro Forma'!O$7,'Taxes and TIF'!$AG$11:$AG$45,0)),0)*'Loan Sizing'!$M$52*O237</f>
        <v>921736.77029203938</v>
      </c>
      <c r="P248" s="151">
        <f ca="1">+IFERROR(INDEX('Taxes and TIF'!$AR$11:$AR$45,MATCH('Phase III Pro Forma'!P$7,'Taxes and TIF'!$AG$11:$AG$45,0)),0)*'Loan Sizing'!$M$52*P237</f>
        <v>940171.50569788029</v>
      </c>
      <c r="Q248" s="151">
        <f ca="1">+IFERROR(INDEX('Taxes and TIF'!$AR$11:$AR$45,MATCH('Phase III Pro Forma'!Q$7,'Taxes and TIF'!$AG$11:$AG$45,0)),0)*'Loan Sizing'!$M$52*Q237</f>
        <v>940171.50569788029</v>
      </c>
      <c r="R248" s="151">
        <f ca="1">+IFERROR(INDEX('Taxes and TIF'!$AR$11:$AR$45,MATCH('Phase III Pro Forma'!R$7,'Taxes and TIF'!$AG$11:$AG$45,0)),0)*'Loan Sizing'!$M$52*R237</f>
        <v>940171.50569788029</v>
      </c>
      <c r="S248" s="151">
        <f ca="1">+IFERROR(INDEX('Taxes and TIF'!$AR$11:$AR$45,MATCH('Phase III Pro Forma'!S$7,'Taxes and TIF'!$AG$11:$AG$45,0)),0)*'Loan Sizing'!$M$52*S237</f>
        <v>958974.9358118379</v>
      </c>
      <c r="T248" s="151">
        <f ca="1">+IFERROR(INDEX('Taxes and TIF'!$AR$11:$AR$45,MATCH('Phase III Pro Forma'!T$7,'Taxes and TIF'!$AG$11:$AG$45,0)),0)*'Loan Sizing'!$M$52*T237</f>
        <v>958974.9358118379</v>
      </c>
      <c r="U248" s="151">
        <f ca="1">+IFERROR(INDEX('Taxes and TIF'!$AR$11:$AR$45,MATCH('Phase III Pro Forma'!U$7,'Taxes and TIF'!$AG$11:$AG$45,0)),0)*'Loan Sizing'!$M$52*U237</f>
        <v>958974.9358118379</v>
      </c>
      <c r="V248" s="151">
        <f ca="1">+IFERROR(INDEX('Taxes and TIF'!$AR$11:$AR$45,MATCH('Phase III Pro Forma'!V$7,'Taxes and TIF'!$AG$11:$AG$45,0)),0)*'Loan Sizing'!$M$52*V237</f>
        <v>978154.43452807481</v>
      </c>
      <c r="W248" s="151">
        <f ca="1">+IFERROR(INDEX('Taxes and TIF'!$AR$11:$AR$45,MATCH('Phase III Pro Forma'!W$7,'Taxes and TIF'!$AG$11:$AG$45,0)),0)*'Loan Sizing'!$M$52*W237</f>
        <v>978154.43452807481</v>
      </c>
      <c r="X248" s="151">
        <f ca="1">+IFERROR(INDEX('Taxes and TIF'!$AR$11:$AR$45,MATCH('Phase III Pro Forma'!X$7,'Taxes and TIF'!$AG$11:$AG$45,0)),0)*'Loan Sizing'!$M$52*X237</f>
        <v>978154.43452807481</v>
      </c>
      <c r="Y248" s="151">
        <f ca="1">+IFERROR(INDEX('Taxes and TIF'!$AR$11:$AR$45,MATCH('Phase III Pro Forma'!Y$7,'Taxes and TIF'!$AG$11:$AG$45,0)),0)*'Loan Sizing'!$M$52*Y237</f>
        <v>997717.52321863628</v>
      </c>
      <c r="Z248" s="151">
        <f ca="1">+IFERROR(INDEX('Taxes and TIF'!$AR$11:$AR$45,MATCH('Phase III Pro Forma'!Z$7,'Taxes and TIF'!$AG$11:$AG$45,0)),0)*'Loan Sizing'!$M$52*Z237</f>
        <v>997717.52321863628</v>
      </c>
    </row>
    <row r="249" spans="2:26" x14ac:dyDescent="0.35">
      <c r="B249" s="137" t="s">
        <v>252</v>
      </c>
      <c r="C249" s="137"/>
      <c r="D249" s="137"/>
      <c r="E249" s="137"/>
      <c r="F249" s="129">
        <f ca="1">+SUM(F247:F248)</f>
        <v>0</v>
      </c>
      <c r="G249" s="129">
        <f t="shared" ref="G249" ca="1" si="96">+SUM(G247:G248)</f>
        <v>0</v>
      </c>
      <c r="H249" s="129">
        <f t="shared" ref="H249:Z249" ca="1" si="97">+SUM(H247:H248)</f>
        <v>0</v>
      </c>
      <c r="I249" s="129">
        <f t="shared" ca="1" si="97"/>
        <v>720493.33603014029</v>
      </c>
      <c r="J249" s="129">
        <f t="shared" ca="1" si="97"/>
        <v>1475356.8261408508</v>
      </c>
      <c r="K249" s="129">
        <f t="shared" ca="1" si="97"/>
        <v>1492507.6259164868</v>
      </c>
      <c r="L249" s="129">
        <f t="shared" ca="1" si="97"/>
        <v>1510172.949685392</v>
      </c>
      <c r="M249" s="129">
        <f t="shared" ca="1" si="97"/>
        <v>1546441.5031730905</v>
      </c>
      <c r="N249" s="129">
        <f t="shared" ca="1" si="97"/>
        <v>1565182.6451595221</v>
      </c>
      <c r="O249" s="129">
        <f t="shared" ca="1" si="97"/>
        <v>1584486.0214055467</v>
      </c>
      <c r="P249" s="129">
        <f t="shared" ca="1" si="97"/>
        <v>1622803.2343447928</v>
      </c>
      <c r="Q249" s="129">
        <f t="shared" ca="1" si="97"/>
        <v>1643282.1862042001</v>
      </c>
      <c r="R249" s="129">
        <f t="shared" ca="1" si="97"/>
        <v>1664375.5066193896</v>
      </c>
      <c r="S249" s="129">
        <f t="shared" ca="1" si="97"/>
        <v>1704905.0567609929</v>
      </c>
      <c r="T249" s="129">
        <f t="shared" ca="1" si="97"/>
        <v>1727282.9603894674</v>
      </c>
      <c r="U249" s="129">
        <f t="shared" ca="1" si="97"/>
        <v>1750332.2011267964</v>
      </c>
      <c r="V249" s="129">
        <f t="shared" ca="1" si="97"/>
        <v>1793252.4178024821</v>
      </c>
      <c r="W249" s="129">
        <f t="shared" ca="1" si="97"/>
        <v>1817705.3573007144</v>
      </c>
      <c r="X249" s="129">
        <f t="shared" ca="1" si="97"/>
        <v>1842891.8849838935</v>
      </c>
      <c r="Y249" s="129">
        <f t="shared" ca="1" si="97"/>
        <v>1888397.0971881296</v>
      </c>
      <c r="Z249" s="129">
        <f t="shared" ca="1" si="97"/>
        <v>1915117.4844072144</v>
      </c>
    </row>
    <row r="250" spans="2:26" x14ac:dyDescent="0.35">
      <c r="B250" s="33"/>
    </row>
    <row r="251" spans="2:26" x14ac:dyDescent="0.35">
      <c r="B251" s="138" t="s">
        <v>251</v>
      </c>
      <c r="C251" s="138"/>
      <c r="D251" s="138"/>
      <c r="E251" s="138"/>
      <c r="F251" s="139">
        <f ca="1">+F245-F249</f>
        <v>0</v>
      </c>
      <c r="G251" s="139">
        <f t="shared" ref="G251:Z251" ca="1" si="98">+G245-G249</f>
        <v>0</v>
      </c>
      <c r="H251" s="139">
        <f t="shared" ca="1" si="98"/>
        <v>0</v>
      </c>
      <c r="I251" s="139">
        <f t="shared" ca="1" si="98"/>
        <v>1432396.7654325122</v>
      </c>
      <c r="J251" s="139">
        <f t="shared" ca="1" si="98"/>
        <v>2864793.5308650248</v>
      </c>
      <c r="K251" s="139">
        <f t="shared" ca="1" si="98"/>
        <v>2864793.5308650248</v>
      </c>
      <c r="L251" s="139">
        <f t="shared" ca="1" si="98"/>
        <v>3151272.8839515271</v>
      </c>
      <c r="M251" s="139">
        <f t="shared" ca="1" si="98"/>
        <v>3151272.8839515271</v>
      </c>
      <c r="N251" s="139">
        <f t="shared" ca="1" si="98"/>
        <v>3151272.8839515271</v>
      </c>
      <c r="O251" s="139">
        <f t="shared" ca="1" si="98"/>
        <v>3151272.8839515271</v>
      </c>
      <c r="P251" s="139">
        <f t="shared" ca="1" si="98"/>
        <v>3151272.8839515271</v>
      </c>
      <c r="Q251" s="139">
        <f t="shared" ca="1" si="98"/>
        <v>3466400.17234668</v>
      </c>
      <c r="R251" s="139">
        <f t="shared" ca="1" si="98"/>
        <v>3466400.17234668</v>
      </c>
      <c r="S251" s="139">
        <f t="shared" ca="1" si="98"/>
        <v>3466400.1723466795</v>
      </c>
      <c r="T251" s="139">
        <f t="shared" ca="1" si="98"/>
        <v>3466400.172346679</v>
      </c>
      <c r="U251" s="139">
        <f t="shared" ca="1" si="98"/>
        <v>3466400.1723466795</v>
      </c>
      <c r="V251" s="139">
        <f t="shared" ca="1" si="98"/>
        <v>3813040.1895813486</v>
      </c>
      <c r="W251" s="139">
        <f t="shared" ca="1" si="98"/>
        <v>3813040.1895813476</v>
      </c>
      <c r="X251" s="139">
        <f t="shared" ca="1" si="98"/>
        <v>3813040.1895813476</v>
      </c>
      <c r="Y251" s="139">
        <f t="shared" ca="1" si="98"/>
        <v>3813040.1895813481</v>
      </c>
      <c r="Z251" s="139">
        <f t="shared" ca="1" si="98"/>
        <v>3813040.1895813476</v>
      </c>
    </row>
    <row r="252" spans="2:26" x14ac:dyDescent="0.35">
      <c r="B252" s="143" t="s">
        <v>257</v>
      </c>
      <c r="C252" s="141"/>
      <c r="D252" s="141"/>
      <c r="E252" s="141"/>
      <c r="F252" s="144" t="str">
        <f ca="1">+IFERROR(F251/F245,"")</f>
        <v/>
      </c>
      <c r="G252" s="144" t="str">
        <f t="shared" ref="G252:Z252" ca="1" si="99">+IFERROR(G251/G245,"")</f>
        <v/>
      </c>
      <c r="H252" s="144" t="str">
        <f t="shared" ca="1" si="99"/>
        <v/>
      </c>
      <c r="I252" s="145">
        <f t="shared" ca="1" si="99"/>
        <v>0.6653366860014619</v>
      </c>
      <c r="J252" s="145">
        <f t="shared" ca="1" si="99"/>
        <v>0.660067807614239</v>
      </c>
      <c r="K252" s="145">
        <f t="shared" ca="1" si="99"/>
        <v>0.65746971067317361</v>
      </c>
      <c r="L252" s="145">
        <f t="shared" ca="1" si="99"/>
        <v>0.67602906832296372</v>
      </c>
      <c r="M252" s="145">
        <f t="shared" ca="1" si="99"/>
        <v>0.67080980754991404</v>
      </c>
      <c r="N252" s="145">
        <f t="shared" ca="1" si="99"/>
        <v>0.66814430126631019</v>
      </c>
      <c r="O252" s="145">
        <f t="shared" ca="1" si="99"/>
        <v>0.66542088542278155</v>
      </c>
      <c r="P252" s="145">
        <f t="shared" ca="1" si="99"/>
        <v>0.66008015076979809</v>
      </c>
      <c r="Q252" s="145">
        <f t="shared" ca="1" si="99"/>
        <v>0.67839836786444796</v>
      </c>
      <c r="R252" s="145">
        <f t="shared" ca="1" si="99"/>
        <v>0.67560937940775712</v>
      </c>
      <c r="S252" s="145">
        <f t="shared" ca="1" si="99"/>
        <v>0.67031436335171024</v>
      </c>
      <c r="T252" s="145">
        <f t="shared" ca="1" si="99"/>
        <v>0.66742619519810853</v>
      </c>
      <c r="U252" s="145">
        <f t="shared" ca="1" si="99"/>
        <v>0.6644772865813382</v>
      </c>
      <c r="V252" s="145">
        <f t="shared" ca="1" si="99"/>
        <v>0.68013577895654986</v>
      </c>
      <c r="W252" s="145">
        <f t="shared" ca="1" si="99"/>
        <v>0.67718211697432484</v>
      </c>
      <c r="X252" s="145">
        <f t="shared" ca="1" si="99"/>
        <v>0.67416654572791124</v>
      </c>
      <c r="Y252" s="145">
        <f t="shared" ca="1" si="99"/>
        <v>0.66878578116253828</v>
      </c>
      <c r="Z252" s="145">
        <f t="shared" ca="1" si="99"/>
        <v>0.66566606692694219</v>
      </c>
    </row>
    <row r="253" spans="2:26" x14ac:dyDescent="0.35">
      <c r="B253" s="143" t="s">
        <v>191</v>
      </c>
      <c r="C253" s="141"/>
      <c r="D253" s="141"/>
      <c r="E253" s="141"/>
      <c r="F253" s="142">
        <f ca="1">+F251/Assumptions!$P$134</f>
        <v>0</v>
      </c>
      <c r="G253" s="142">
        <f ca="1">+G251/Assumptions!$P$134</f>
        <v>0</v>
      </c>
      <c r="H253" s="142">
        <f ca="1">+H251/Assumptions!$P$134</f>
        <v>0</v>
      </c>
      <c r="I253" s="142">
        <f ca="1">+I251/Assumptions!$P$134</f>
        <v>26043577.553318404</v>
      </c>
      <c r="J253" s="142">
        <f ca="1">+J251/Assumptions!$P$134</f>
        <v>52087155.106636815</v>
      </c>
      <c r="K253" s="142">
        <f ca="1">+K251/Assumptions!$P$134</f>
        <v>52087155.106636815</v>
      </c>
      <c r="L253" s="142">
        <f ca="1">+L251/Assumptions!$P$134</f>
        <v>57295870.617300496</v>
      </c>
      <c r="M253" s="142">
        <f ca="1">+M251/Assumptions!$P$134</f>
        <v>57295870.617300496</v>
      </c>
      <c r="N253" s="142">
        <f ca="1">+N251/Assumptions!$P$134</f>
        <v>57295870.617300496</v>
      </c>
      <c r="O253" s="142">
        <f ca="1">+O251/Assumptions!$P$134</f>
        <v>57295870.617300496</v>
      </c>
      <c r="P253" s="142">
        <f ca="1">+P251/Assumptions!$P$134</f>
        <v>57295870.617300496</v>
      </c>
      <c r="Q253" s="142">
        <f ca="1">+Q251/Assumptions!$P$134</f>
        <v>63025457.679030545</v>
      </c>
      <c r="R253" s="142">
        <f ca="1">+R251/Assumptions!$P$134</f>
        <v>63025457.679030545</v>
      </c>
      <c r="S253" s="142">
        <f ca="1">+S251/Assumptions!$P$134</f>
        <v>63025457.679030538</v>
      </c>
      <c r="T253" s="142">
        <f ca="1">+T251/Assumptions!$P$134</f>
        <v>63025457.67903053</v>
      </c>
      <c r="U253" s="142">
        <f ca="1">+U251/Assumptions!$P$134</f>
        <v>63025457.679030538</v>
      </c>
      <c r="V253" s="142">
        <f ca="1">+V251/Assumptions!$P$134</f>
        <v>69328003.446933612</v>
      </c>
      <c r="W253" s="142">
        <f ca="1">+W251/Assumptions!$P$134</f>
        <v>69328003.446933597</v>
      </c>
      <c r="X253" s="142">
        <f ca="1">+X251/Assumptions!$P$134</f>
        <v>69328003.446933597</v>
      </c>
      <c r="Y253" s="142">
        <f ca="1">+Y251/Assumptions!$P$134</f>
        <v>69328003.446933597</v>
      </c>
      <c r="Z253" s="142">
        <f ca="1">+Z251/Assumptions!$P$134</f>
        <v>69328003.446933597</v>
      </c>
    </row>
    <row r="255" spans="2:26" x14ac:dyDescent="0.35">
      <c r="B255" s="148" t="s">
        <v>31</v>
      </c>
      <c r="F255" s="150">
        <f>+Assumptions!$H$22</f>
        <v>45657</v>
      </c>
      <c r="G255" s="150">
        <f>+EOMONTH(F255,12)</f>
        <v>46022</v>
      </c>
      <c r="H255" s="150">
        <f t="shared" ref="H255:Z255" si="100">+EOMONTH(G255,12)</f>
        <v>46387</v>
      </c>
      <c r="I255" s="150">
        <f t="shared" si="100"/>
        <v>46752</v>
      </c>
      <c r="J255" s="150">
        <f t="shared" si="100"/>
        <v>47118</v>
      </c>
      <c r="K255" s="150">
        <f t="shared" si="100"/>
        <v>47483</v>
      </c>
      <c r="L255" s="150">
        <f t="shared" si="100"/>
        <v>47848</v>
      </c>
      <c r="M255" s="150">
        <f t="shared" si="100"/>
        <v>48213</v>
      </c>
      <c r="N255" s="150">
        <f t="shared" si="100"/>
        <v>48579</v>
      </c>
      <c r="O255" s="150">
        <f t="shared" si="100"/>
        <v>48944</v>
      </c>
      <c r="P255" s="150">
        <f t="shared" si="100"/>
        <v>49309</v>
      </c>
      <c r="Q255" s="150">
        <f t="shared" si="100"/>
        <v>49674</v>
      </c>
      <c r="R255" s="150">
        <f t="shared" si="100"/>
        <v>50040</v>
      </c>
      <c r="S255" s="150">
        <f t="shared" si="100"/>
        <v>50405</v>
      </c>
      <c r="T255" s="150">
        <f t="shared" si="100"/>
        <v>50770</v>
      </c>
      <c r="U255" s="150">
        <f t="shared" si="100"/>
        <v>51135</v>
      </c>
      <c r="V255" s="150">
        <f t="shared" si="100"/>
        <v>51501</v>
      </c>
      <c r="W255" s="150">
        <f t="shared" si="100"/>
        <v>51866</v>
      </c>
      <c r="X255" s="150">
        <f t="shared" si="100"/>
        <v>52231</v>
      </c>
      <c r="Y255" s="150">
        <f t="shared" si="100"/>
        <v>52596</v>
      </c>
      <c r="Z255" s="150">
        <f t="shared" si="100"/>
        <v>52962</v>
      </c>
    </row>
    <row r="256" spans="2:26" x14ac:dyDescent="0.35">
      <c r="B256" s="33" t="s">
        <v>337</v>
      </c>
      <c r="F256" s="34">
        <v>0</v>
      </c>
      <c r="G256" s="34">
        <f t="shared" ref="G256:Z256" si="101">+F259</f>
        <v>0</v>
      </c>
      <c r="H256" s="34">
        <f t="shared" si="101"/>
        <v>0</v>
      </c>
      <c r="I256" s="34">
        <f t="shared" si="101"/>
        <v>0</v>
      </c>
      <c r="J256" s="34">
        <f t="shared" ca="1" si="101"/>
        <v>39065366.329977609</v>
      </c>
      <c r="K256" s="34">
        <f t="shared" ca="1" si="101"/>
        <v>39065366.329977609</v>
      </c>
      <c r="L256" s="34">
        <f t="shared" ca="1" si="101"/>
        <v>39065366.329977609</v>
      </c>
      <c r="M256" s="34">
        <f t="shared" ca="1" si="101"/>
        <v>39065366.329977609</v>
      </c>
      <c r="N256" s="34">
        <f t="shared" ca="1" si="101"/>
        <v>39065366.329977609</v>
      </c>
      <c r="O256" s="34">
        <f t="shared" ca="1" si="101"/>
        <v>39065366.329977609</v>
      </c>
      <c r="P256" s="34">
        <f t="shared" ca="1" si="101"/>
        <v>39065366.329977609</v>
      </c>
      <c r="Q256" s="34">
        <f t="shared" ca="1" si="101"/>
        <v>39065366.329977609</v>
      </c>
      <c r="R256" s="34">
        <f t="shared" ca="1" si="101"/>
        <v>39065366.329977609</v>
      </c>
      <c r="S256" s="34">
        <f t="shared" ca="1" si="101"/>
        <v>39065366.329977609</v>
      </c>
      <c r="T256" s="34">
        <f t="shared" ca="1" si="101"/>
        <v>39065366.329977609</v>
      </c>
      <c r="U256" s="34">
        <f t="shared" ca="1" si="101"/>
        <v>39065366.329977609</v>
      </c>
      <c r="V256" s="34">
        <f t="shared" ca="1" si="101"/>
        <v>39065366.329977609</v>
      </c>
      <c r="W256" s="34">
        <f t="shared" ca="1" si="101"/>
        <v>39065366.329977609</v>
      </c>
      <c r="X256" s="34">
        <f t="shared" ca="1" si="101"/>
        <v>39065366.329977609</v>
      </c>
      <c r="Y256" s="34">
        <f t="shared" ca="1" si="101"/>
        <v>39065366.329977609</v>
      </c>
      <c r="Z256" s="34">
        <f t="shared" ca="1" si="101"/>
        <v>39065366.329977587</v>
      </c>
    </row>
    <row r="257" spans="2:26" x14ac:dyDescent="0.35">
      <c r="B257" s="33" t="s">
        <v>348</v>
      </c>
      <c r="F257" s="151">
        <f>+IF(YEAR(F$140)=YEAR(Assumptions!$H$26),'S&amp;U'!$T$19,0)</f>
        <v>0</v>
      </c>
      <c r="G257" s="151">
        <f>+IF(YEAR(G$140)=YEAR(Assumptions!$H$26),'S&amp;U'!$T$19,0)</f>
        <v>0</v>
      </c>
      <c r="H257" s="151">
        <f>+IF(YEAR(H$140)=YEAR(Assumptions!$H$26),'S&amp;U'!$T$19,0)</f>
        <v>0</v>
      </c>
      <c r="I257" s="151">
        <f ca="1">+IF(YEAR(I$140)=YEAR(Assumptions!$H$26),'S&amp;U'!$T$19,0)</f>
        <v>39065366.329977609</v>
      </c>
      <c r="J257" s="151">
        <f>+IF(YEAR(J$140)=YEAR(Assumptions!$H$26),'S&amp;U'!$T$19,0)</f>
        <v>0</v>
      </c>
      <c r="K257" s="151">
        <f>+IF(YEAR(K$140)=YEAR(Assumptions!$H$26),'S&amp;U'!$T$19,0)</f>
        <v>0</v>
      </c>
      <c r="L257" s="151">
        <f>+IF(YEAR(L$140)=YEAR(Assumptions!$H$26),'S&amp;U'!$T$19,0)</f>
        <v>0</v>
      </c>
      <c r="M257" s="151">
        <f>+IF(YEAR(M$140)=YEAR(Assumptions!$H$26),'S&amp;U'!$T$19,0)</f>
        <v>0</v>
      </c>
      <c r="N257" s="151">
        <f>+IF(YEAR(N$140)=YEAR(Assumptions!$H$26),'S&amp;U'!$T$19,0)</f>
        <v>0</v>
      </c>
      <c r="O257" s="151">
        <f>+IF(YEAR(O$140)=YEAR(Assumptions!$H$26),'S&amp;U'!$T$19,0)</f>
        <v>0</v>
      </c>
      <c r="P257" s="151">
        <f>+IF(YEAR(P$140)=YEAR(Assumptions!$H$26),'S&amp;U'!$T$19,0)</f>
        <v>0</v>
      </c>
      <c r="Q257" s="151">
        <f>+IF(YEAR(Q$140)=YEAR(Assumptions!$H$26),'S&amp;U'!$T$19,0)</f>
        <v>0</v>
      </c>
      <c r="R257" s="151">
        <f>+IF(YEAR(R$140)=YEAR(Assumptions!$H$26),'S&amp;U'!$T$19,0)</f>
        <v>0</v>
      </c>
      <c r="S257" s="151">
        <f>+IF(YEAR(S$140)=YEAR(Assumptions!$H$26),'S&amp;U'!$T$19,0)</f>
        <v>0</v>
      </c>
      <c r="T257" s="151">
        <f>+IF(YEAR(T$140)=YEAR(Assumptions!$H$26),'S&amp;U'!$T$19,0)</f>
        <v>0</v>
      </c>
      <c r="U257" s="151">
        <f>+IF(YEAR(U$140)=YEAR(Assumptions!$H$26),'S&amp;U'!$T$19,0)</f>
        <v>0</v>
      </c>
      <c r="V257" s="151">
        <f>+IF(YEAR(V$140)=YEAR(Assumptions!$H$26),'S&amp;U'!$T$19,0)</f>
        <v>0</v>
      </c>
      <c r="W257" s="151">
        <f>+IF(YEAR(W$140)=YEAR(Assumptions!$H$26),'S&amp;U'!$T$19,0)</f>
        <v>0</v>
      </c>
      <c r="X257" s="151">
        <f>+IF(YEAR(X$140)=YEAR(Assumptions!$H$26),'S&amp;U'!$T$19,0)</f>
        <v>0</v>
      </c>
      <c r="Y257" s="151">
        <f>+IF(YEAR(Y$140)=YEAR(Assumptions!$H$26),'S&amp;U'!$T$19,0)</f>
        <v>0</v>
      </c>
      <c r="Z257" s="151">
        <f>+IF(YEAR(Z$140)=YEAR(Assumptions!$H$26),'S&amp;U'!$T$19,0)</f>
        <v>0</v>
      </c>
    </row>
    <row r="258" spans="2:26" x14ac:dyDescent="0.35">
      <c r="B258" s="33" t="s">
        <v>165</v>
      </c>
      <c r="F258" s="151">
        <v>0</v>
      </c>
      <c r="G258" s="151">
        <v>0</v>
      </c>
      <c r="H258" s="151">
        <v>0</v>
      </c>
      <c r="I258" s="151">
        <v>0</v>
      </c>
      <c r="J258" s="151">
        <v>0</v>
      </c>
      <c r="K258" s="151">
        <v>0</v>
      </c>
      <c r="L258" s="151">
        <v>0</v>
      </c>
      <c r="M258" s="151">
        <v>0</v>
      </c>
      <c r="N258" s="151">
        <v>0</v>
      </c>
      <c r="O258" s="151">
        <v>0</v>
      </c>
      <c r="P258" s="151">
        <v>0</v>
      </c>
      <c r="Q258" s="151">
        <v>0</v>
      </c>
      <c r="R258" s="151">
        <v>0</v>
      </c>
      <c r="S258" s="151">
        <v>0</v>
      </c>
      <c r="T258" s="151">
        <v>0</v>
      </c>
      <c r="U258" s="151">
        <v>0</v>
      </c>
      <c r="V258" s="151">
        <v>0</v>
      </c>
      <c r="W258" s="151">
        <v>0</v>
      </c>
      <c r="X258" s="151">
        <v>0</v>
      </c>
      <c r="Y258" s="151">
        <v>0</v>
      </c>
      <c r="Z258" s="151">
        <v>0</v>
      </c>
    </row>
    <row r="259" spans="2:26" x14ac:dyDescent="0.35">
      <c r="B259" s="33" t="s">
        <v>339</v>
      </c>
      <c r="F259" s="151">
        <f t="shared" ref="F259:N259" si="102">+SUM(F256:F258)</f>
        <v>0</v>
      </c>
      <c r="G259" s="151">
        <f t="shared" si="102"/>
        <v>0</v>
      </c>
      <c r="H259" s="151">
        <f t="shared" si="102"/>
        <v>0</v>
      </c>
      <c r="I259" s="151">
        <f t="shared" ca="1" si="102"/>
        <v>39065366.329977609</v>
      </c>
      <c r="J259" s="151">
        <f t="shared" ca="1" si="102"/>
        <v>39065366.329977609</v>
      </c>
      <c r="K259" s="151">
        <f t="shared" ca="1" si="102"/>
        <v>39065366.329977609</v>
      </c>
      <c r="L259" s="151">
        <f t="shared" ca="1" si="102"/>
        <v>39065366.329977609</v>
      </c>
      <c r="M259" s="151">
        <f t="shared" ca="1" si="102"/>
        <v>39065366.329977609</v>
      </c>
      <c r="N259" s="151">
        <f t="shared" ca="1" si="102"/>
        <v>39065366.329977609</v>
      </c>
      <c r="O259" s="151">
        <f t="shared" ref="O259" ca="1" si="103">+SUM(O256:O258)</f>
        <v>39065366.329977609</v>
      </c>
      <c r="P259" s="151">
        <f t="shared" ref="P259:Z259" ca="1" si="104">+SUM(P256:P258)</f>
        <v>39065366.329977609</v>
      </c>
      <c r="Q259" s="151">
        <f t="shared" ca="1" si="104"/>
        <v>39065366.329977609</v>
      </c>
      <c r="R259" s="151">
        <f t="shared" ca="1" si="104"/>
        <v>39065366.329977609</v>
      </c>
      <c r="S259" s="151">
        <f t="shared" ca="1" si="104"/>
        <v>39065366.329977609</v>
      </c>
      <c r="T259" s="151">
        <f t="shared" ca="1" si="104"/>
        <v>39065366.329977609</v>
      </c>
      <c r="U259" s="151">
        <f t="shared" ca="1" si="104"/>
        <v>39065366.329977609</v>
      </c>
      <c r="V259" s="151">
        <f t="shared" ca="1" si="104"/>
        <v>39065366.329977609</v>
      </c>
      <c r="W259" s="151">
        <f t="shared" ca="1" si="104"/>
        <v>39065366.329977609</v>
      </c>
      <c r="X259" s="151">
        <f t="shared" ca="1" si="104"/>
        <v>39065366.329977609</v>
      </c>
      <c r="Y259" s="151">
        <f t="shared" ca="1" si="104"/>
        <v>39065366.329977609</v>
      </c>
      <c r="Z259" s="151">
        <f t="shared" ca="1" si="104"/>
        <v>39065366.329977587</v>
      </c>
    </row>
    <row r="261" spans="2:26" x14ac:dyDescent="0.35">
      <c r="B261" s="41" t="s">
        <v>338</v>
      </c>
      <c r="F261" s="34">
        <f>+F259*Assumptions!$P$163</f>
        <v>0</v>
      </c>
      <c r="G261" s="34">
        <f>+G259*Assumptions!$P$163</f>
        <v>0</v>
      </c>
      <c r="H261" s="34">
        <f>+H259*Assumptions!$P$163</f>
        <v>0</v>
      </c>
      <c r="I261" s="34">
        <f ca="1">+I259*Assumptions!$P$163</f>
        <v>2148595.1481487686</v>
      </c>
      <c r="J261" s="34">
        <f ca="1">+J259*Assumptions!$P$163</f>
        <v>2148595.1481487686</v>
      </c>
      <c r="K261" s="34">
        <f ca="1">+K259*Assumptions!$P$163</f>
        <v>2148595.1481487686</v>
      </c>
      <c r="L261" s="34">
        <f ca="1">+L259*Assumptions!$P$163</f>
        <v>2148595.1481487686</v>
      </c>
      <c r="M261" s="34">
        <f ca="1">+M259*Assumptions!$P$163</f>
        <v>2148595.1481487686</v>
      </c>
      <c r="N261" s="34">
        <f ca="1">+N259*Assumptions!$P$163</f>
        <v>2148595.1481487686</v>
      </c>
      <c r="O261" s="34">
        <f ca="1">+O259*Assumptions!$P$163</f>
        <v>2148595.1481487686</v>
      </c>
      <c r="P261" s="34">
        <f ca="1">+P259*Assumptions!$P$163</f>
        <v>2148595.1481487686</v>
      </c>
      <c r="Q261" s="34">
        <f ca="1">+Q259*Assumptions!$P$163</f>
        <v>2148595.1481487686</v>
      </c>
      <c r="R261" s="34">
        <f ca="1">+R259*Assumptions!$P$163</f>
        <v>2148595.1481487686</v>
      </c>
      <c r="S261" s="34">
        <f ca="1">+S259*Assumptions!$P$163</f>
        <v>2148595.1481487686</v>
      </c>
      <c r="T261" s="34">
        <f ca="1">+T259*Assumptions!$P$163</f>
        <v>2148595.1481487686</v>
      </c>
      <c r="U261" s="34">
        <f ca="1">+U259*Assumptions!$P$163</f>
        <v>2148595.1481487686</v>
      </c>
      <c r="V261" s="34">
        <f ca="1">+V259*Assumptions!$P$163</f>
        <v>2148595.1481487686</v>
      </c>
      <c r="W261" s="34">
        <f ca="1">+W259*Assumptions!$P$163</f>
        <v>2148595.1481487686</v>
      </c>
      <c r="X261" s="34">
        <f ca="1">+X259*Assumptions!$P$163</f>
        <v>2148595.1481487686</v>
      </c>
      <c r="Y261" s="34">
        <f ca="1">+Y259*Assumptions!$P$163</f>
        <v>2148595.1481487686</v>
      </c>
      <c r="Z261" s="34">
        <f ca="1">+Z259*Assumptions!$P$163</f>
        <v>2148595.1481487672</v>
      </c>
    </row>
    <row r="262" spans="2:26" x14ac:dyDescent="0.35">
      <c r="B262" s="137" t="s">
        <v>347</v>
      </c>
      <c r="C262" s="137"/>
      <c r="D262" s="137"/>
      <c r="E262" s="137"/>
      <c r="F262" s="129">
        <f t="shared" ref="F262:K262" si="105">+F261-F258</f>
        <v>0</v>
      </c>
      <c r="G262" s="129">
        <f t="shared" si="105"/>
        <v>0</v>
      </c>
      <c r="H262" s="129">
        <f t="shared" si="105"/>
        <v>0</v>
      </c>
      <c r="I262" s="129">
        <f t="shared" ca="1" si="105"/>
        <v>2148595.1481487686</v>
      </c>
      <c r="J262" s="129">
        <f t="shared" ca="1" si="105"/>
        <v>2148595.1481487686</v>
      </c>
      <c r="K262" s="129">
        <f t="shared" ca="1" si="105"/>
        <v>2148595.1481487686</v>
      </c>
      <c r="L262" s="129">
        <f ca="1">+L261-L258</f>
        <v>2148595.1481487686</v>
      </c>
      <c r="M262" s="129">
        <f t="shared" ref="M262:Z262" ca="1" si="106">+M261-M258</f>
        <v>2148595.1481487686</v>
      </c>
      <c r="N262" s="129">
        <f t="shared" ca="1" si="106"/>
        <v>2148595.1481487686</v>
      </c>
      <c r="O262" s="129">
        <f t="shared" ca="1" si="106"/>
        <v>2148595.1481487686</v>
      </c>
      <c r="P262" s="129">
        <f t="shared" ca="1" si="106"/>
        <v>2148595.1481487686</v>
      </c>
      <c r="Q262" s="129">
        <f t="shared" ca="1" si="106"/>
        <v>2148595.1481487686</v>
      </c>
      <c r="R262" s="129">
        <f t="shared" ca="1" si="106"/>
        <v>2148595.1481487686</v>
      </c>
      <c r="S262" s="129">
        <f t="shared" ca="1" si="106"/>
        <v>2148595.1481487686</v>
      </c>
      <c r="T262" s="129">
        <f t="shared" ca="1" si="106"/>
        <v>2148595.1481487686</v>
      </c>
      <c r="U262" s="129">
        <f t="shared" ca="1" si="106"/>
        <v>2148595.1481487686</v>
      </c>
      <c r="V262" s="129">
        <f t="shared" ca="1" si="106"/>
        <v>2148595.1481487686</v>
      </c>
      <c r="W262" s="129">
        <f t="shared" ca="1" si="106"/>
        <v>2148595.1481487686</v>
      </c>
      <c r="X262" s="129">
        <f t="shared" ca="1" si="106"/>
        <v>2148595.1481487686</v>
      </c>
      <c r="Y262" s="129">
        <f t="shared" ca="1" si="106"/>
        <v>2148595.1481487686</v>
      </c>
      <c r="Z262" s="129">
        <f t="shared" ca="1" si="106"/>
        <v>2148595.1481487672</v>
      </c>
    </row>
    <row r="263" spans="2:26" x14ac:dyDescent="0.35">
      <c r="B263" s="146" t="s">
        <v>184</v>
      </c>
      <c r="F263" s="180" t="str">
        <f t="shared" ref="F263:J263" ca="1" si="107">+IFERROR(F251/F262,"")</f>
        <v/>
      </c>
      <c r="G263" s="180" t="str">
        <f t="shared" ca="1" si="107"/>
        <v/>
      </c>
      <c r="H263" s="180" t="str">
        <f t="shared" ca="1" si="107"/>
        <v/>
      </c>
      <c r="I263" s="180">
        <f t="shared" ca="1" si="107"/>
        <v>0.66666666666666652</v>
      </c>
      <c r="J263" s="180">
        <f t="shared" ca="1" si="107"/>
        <v>1.3333333333333333</v>
      </c>
      <c r="K263" s="180">
        <f ca="1">+IFERROR(K251/K262,"")</f>
        <v>1.3333333333333333</v>
      </c>
      <c r="L263" s="180">
        <f t="shared" ref="L263:Z263" ca="1" si="108">+IFERROR(L251/L262,"")</f>
        <v>1.4666666666666666</v>
      </c>
      <c r="M263" s="180">
        <f t="shared" ca="1" si="108"/>
        <v>1.4666666666666666</v>
      </c>
      <c r="N263" s="180">
        <f t="shared" ca="1" si="108"/>
        <v>1.4666666666666666</v>
      </c>
      <c r="O263" s="180">
        <f t="shared" ca="1" si="108"/>
        <v>1.4666666666666666</v>
      </c>
      <c r="P263" s="180">
        <f t="shared" ca="1" si="108"/>
        <v>1.4666666666666666</v>
      </c>
      <c r="Q263" s="180">
        <f t="shared" ca="1" si="108"/>
        <v>1.6133333333333333</v>
      </c>
      <c r="R263" s="180">
        <f t="shared" ca="1" si="108"/>
        <v>1.6133333333333333</v>
      </c>
      <c r="S263" s="180">
        <f t="shared" ca="1" si="108"/>
        <v>1.6133333333333331</v>
      </c>
      <c r="T263" s="180">
        <f t="shared" ca="1" si="108"/>
        <v>1.6133333333333328</v>
      </c>
      <c r="U263" s="180">
        <f t="shared" ca="1" si="108"/>
        <v>1.6133333333333331</v>
      </c>
      <c r="V263" s="180">
        <f t="shared" ca="1" si="108"/>
        <v>1.7746666666666668</v>
      </c>
      <c r="W263" s="180">
        <f t="shared" ca="1" si="108"/>
        <v>1.7746666666666666</v>
      </c>
      <c r="X263" s="180">
        <f t="shared" ca="1" si="108"/>
        <v>1.7746666666666666</v>
      </c>
      <c r="Y263" s="180">
        <f t="shared" ca="1" si="108"/>
        <v>1.7746666666666666</v>
      </c>
      <c r="Z263" s="180">
        <f t="shared" ca="1" si="108"/>
        <v>1.7746666666666677</v>
      </c>
    </row>
    <row r="265" spans="2:26" x14ac:dyDescent="0.35">
      <c r="B265" s="41" t="s">
        <v>159</v>
      </c>
      <c r="F265" s="34">
        <f>+F257*Assumptions!$P$164</f>
        <v>0</v>
      </c>
      <c r="G265" s="34">
        <f>+G257*Assumptions!$P$164</f>
        <v>0</v>
      </c>
      <c r="H265" s="34">
        <f>+H257*Assumptions!$P$164</f>
        <v>0</v>
      </c>
      <c r="I265" s="34">
        <f ca="1">+I257*Assumptions!$P$164</f>
        <v>292990.24747483205</v>
      </c>
      <c r="J265" s="34">
        <f>+J257*Assumptions!$P$164</f>
        <v>0</v>
      </c>
      <c r="K265" s="34">
        <f>+K257*Assumptions!$P$164</f>
        <v>0</v>
      </c>
      <c r="L265" s="34">
        <f>+L257*Assumptions!$P$164</f>
        <v>0</v>
      </c>
      <c r="M265" s="34">
        <f>+M257*Assumptions!$P$164</f>
        <v>0</v>
      </c>
      <c r="N265" s="34">
        <f>+N257*Assumptions!$P$164</f>
        <v>0</v>
      </c>
      <c r="O265" s="34">
        <f>+O257*Assumptions!$P$164</f>
        <v>0</v>
      </c>
      <c r="P265" s="34">
        <f>+P257*Assumptions!$P$164</f>
        <v>0</v>
      </c>
      <c r="Q265" s="34">
        <f>+Q257*Assumptions!$P$164</f>
        <v>0</v>
      </c>
      <c r="R265" s="34">
        <f>+R257*Assumptions!$P$164</f>
        <v>0</v>
      </c>
      <c r="S265" s="34">
        <f>+S257*Assumptions!$P$164</f>
        <v>0</v>
      </c>
      <c r="T265" s="34">
        <f>+T257*Assumptions!$P$164</f>
        <v>0</v>
      </c>
      <c r="U265" s="34">
        <f>+U257*Assumptions!$P$164</f>
        <v>0</v>
      </c>
      <c r="V265" s="34">
        <f>+V257*Assumptions!$P$164</f>
        <v>0</v>
      </c>
      <c r="W265" s="34">
        <f>+W257*Assumptions!$P$164</f>
        <v>0</v>
      </c>
      <c r="X265" s="34">
        <f>+X257*Assumptions!$P$164</f>
        <v>0</v>
      </c>
      <c r="Y265" s="34">
        <f>+Y257*Assumptions!$P$164</f>
        <v>0</v>
      </c>
      <c r="Z265" s="34">
        <f>+Z257*Assumptions!$P$164</f>
        <v>0</v>
      </c>
    </row>
    <row r="267" spans="2:26" x14ac:dyDescent="0.35">
      <c r="B267" s="137" t="s">
        <v>340</v>
      </c>
      <c r="C267" s="137"/>
      <c r="D267" s="137"/>
      <c r="E267" s="137"/>
      <c r="F267" s="129">
        <f ca="1">+F251-F262-F265</f>
        <v>0</v>
      </c>
      <c r="G267" s="129">
        <f t="shared" ref="G267:Z267" ca="1" si="109">+G251-G262-G265</f>
        <v>0</v>
      </c>
      <c r="H267" s="129">
        <f t="shared" ca="1" si="109"/>
        <v>0</v>
      </c>
      <c r="I267" s="129">
        <f t="shared" ca="1" si="109"/>
        <v>-1009188.6301910884</v>
      </c>
      <c r="J267" s="129">
        <f t="shared" ca="1" si="109"/>
        <v>716198.38271625619</v>
      </c>
      <c r="K267" s="129">
        <f t="shared" ca="1" si="109"/>
        <v>716198.38271625619</v>
      </c>
      <c r="L267" s="129">
        <f t="shared" ca="1" si="109"/>
        <v>1002677.7358027585</v>
      </c>
      <c r="M267" s="129">
        <f t="shared" ca="1" si="109"/>
        <v>1002677.7358027585</v>
      </c>
      <c r="N267" s="129">
        <f t="shared" ca="1" si="109"/>
        <v>1002677.7358027585</v>
      </c>
      <c r="O267" s="129">
        <f t="shared" ca="1" si="109"/>
        <v>1002677.7358027585</v>
      </c>
      <c r="P267" s="129">
        <f t="shared" ca="1" si="109"/>
        <v>1002677.7358027585</v>
      </c>
      <c r="Q267" s="129">
        <f t="shared" ca="1" si="109"/>
        <v>1317805.0241979114</v>
      </c>
      <c r="R267" s="129">
        <f t="shared" ca="1" si="109"/>
        <v>1317805.0241979114</v>
      </c>
      <c r="S267" s="129">
        <f t="shared" ca="1" si="109"/>
        <v>1317805.0241979109</v>
      </c>
      <c r="T267" s="129">
        <f t="shared" ca="1" si="109"/>
        <v>1317805.0241979104</v>
      </c>
      <c r="U267" s="129">
        <f t="shared" ca="1" si="109"/>
        <v>1317805.0241979109</v>
      </c>
      <c r="V267" s="129">
        <f t="shared" ca="1" si="109"/>
        <v>1664445.04143258</v>
      </c>
      <c r="W267" s="129">
        <f t="shared" ca="1" si="109"/>
        <v>1664445.041432579</v>
      </c>
      <c r="X267" s="129">
        <f t="shared" ca="1" si="109"/>
        <v>1664445.041432579</v>
      </c>
      <c r="Y267" s="129">
        <f t="shared" ca="1" si="109"/>
        <v>1664445.0414325795</v>
      </c>
      <c r="Z267" s="129">
        <f t="shared" ca="1" si="109"/>
        <v>1664445.0414325804</v>
      </c>
    </row>
    <row r="269" spans="2:26" x14ac:dyDescent="0.35">
      <c r="B269" s="148" t="s">
        <v>349</v>
      </c>
    </row>
    <row r="270" spans="2:26" x14ac:dyDescent="0.35">
      <c r="B270" s="33" t="s">
        <v>342</v>
      </c>
      <c r="F270" s="34">
        <f>+IF(YEAR(F$140)=YEAR(Assumptions!$H$30),F253,0)</f>
        <v>0</v>
      </c>
      <c r="G270" s="34">
        <f>+IF(YEAR(G$140)=YEAR(Assumptions!$H$30),G253,0)</f>
        <v>0</v>
      </c>
      <c r="H270" s="34">
        <f>+IF(YEAR(H$140)=YEAR(Assumptions!$H$30),H253,0)</f>
        <v>0</v>
      </c>
      <c r="I270" s="34">
        <f>+IF(YEAR(I$140)=YEAR(Assumptions!$H$30),I253,0)</f>
        <v>0</v>
      </c>
      <c r="J270" s="34">
        <f>+IF(YEAR(J$140)=YEAR(Assumptions!$H$30),J253,0)</f>
        <v>0</v>
      </c>
      <c r="K270" s="34">
        <f>+IF(YEAR(K$140)=YEAR(Assumptions!$H$30),K253,0)</f>
        <v>0</v>
      </c>
      <c r="L270" s="34">
        <f ca="1">+IF(YEAR(L$140)=YEAR(Assumptions!$H$30),L253,0)</f>
        <v>57295870.617300496</v>
      </c>
      <c r="M270" s="34">
        <f>+IF(YEAR(M$140)=YEAR(Assumptions!$H$30),M253,0)</f>
        <v>0</v>
      </c>
      <c r="N270" s="34">
        <f>+IF(YEAR(N$140)=YEAR(Assumptions!$H$30),N253,0)</f>
        <v>0</v>
      </c>
      <c r="O270" s="34">
        <f>+IF(YEAR(O$140)=YEAR(Assumptions!$H$30),O253,0)</f>
        <v>0</v>
      </c>
      <c r="P270" s="34">
        <f>+IF(YEAR(P$140)=YEAR(Assumptions!$H$30),P253,0)</f>
        <v>0</v>
      </c>
      <c r="Q270" s="34">
        <f>+IF(YEAR(Q$140)=YEAR(Assumptions!$H$30),Q253,0)</f>
        <v>0</v>
      </c>
      <c r="R270" s="34">
        <f>+IF(YEAR(R$140)=YEAR(Assumptions!$H$30),R253,0)</f>
        <v>0</v>
      </c>
      <c r="S270" s="34">
        <f>+IF(YEAR(S$140)=YEAR(Assumptions!$H$30),S253,0)</f>
        <v>0</v>
      </c>
      <c r="T270" s="34">
        <f>+IF(YEAR(T$140)=YEAR(Assumptions!$H$30),T253,0)</f>
        <v>0</v>
      </c>
      <c r="U270" s="34">
        <f>+IF(YEAR(U$140)=YEAR(Assumptions!$H$30),U253,0)</f>
        <v>0</v>
      </c>
      <c r="V270" s="34">
        <f>+IF(YEAR(V$140)=YEAR(Assumptions!$H$30),V253,0)</f>
        <v>0</v>
      </c>
      <c r="W270" s="34">
        <f>+IF(YEAR(W$140)=YEAR(Assumptions!$H$30),W253,0)</f>
        <v>0</v>
      </c>
      <c r="X270" s="34">
        <f>+IF(YEAR(X$140)=YEAR(Assumptions!$H$30),X253,0)</f>
        <v>0</v>
      </c>
      <c r="Y270" s="34">
        <f>+IF(YEAR(Y$140)=YEAR(Assumptions!$H$30),Y253,0)</f>
        <v>0</v>
      </c>
      <c r="Z270" s="34">
        <f>+IF(YEAR(Z$140)=YEAR(Assumptions!$H$30),Z253,0)</f>
        <v>0</v>
      </c>
    </row>
    <row r="271" spans="2:26" x14ac:dyDescent="0.35">
      <c r="B271" s="33" t="s">
        <v>343</v>
      </c>
      <c r="F271" s="151">
        <f>-F270*Assumptions!$P$136</f>
        <v>0</v>
      </c>
      <c r="G271" s="151">
        <f>-G270*Assumptions!$P$136</f>
        <v>0</v>
      </c>
      <c r="H271" s="151">
        <f>-H270*Assumptions!$P$136</f>
        <v>0</v>
      </c>
      <c r="I271" s="151">
        <f>-I270*Assumptions!$P$136</f>
        <v>0</v>
      </c>
      <c r="J271" s="151">
        <f>-J270*Assumptions!$P$136</f>
        <v>0</v>
      </c>
      <c r="K271" s="151">
        <f>-K270*Assumptions!$P$136</f>
        <v>0</v>
      </c>
      <c r="L271" s="151">
        <f ca="1">-L270*Assumptions!$P$136</f>
        <v>-1145917.4123460099</v>
      </c>
      <c r="M271" s="151">
        <f>-M270*Assumptions!$P$136</f>
        <v>0</v>
      </c>
      <c r="N271" s="151">
        <f>-N270*Assumptions!$P$136</f>
        <v>0</v>
      </c>
      <c r="O271" s="151">
        <f>-O270*Assumptions!$P$136</f>
        <v>0</v>
      </c>
      <c r="P271" s="151">
        <f>-P270*Assumptions!$P$136</f>
        <v>0</v>
      </c>
      <c r="Q271" s="151">
        <f>-Q270*Assumptions!$P$136</f>
        <v>0</v>
      </c>
      <c r="R271" s="151">
        <f>-R270*Assumptions!$P$136</f>
        <v>0</v>
      </c>
      <c r="S271" s="151">
        <f>-S270*Assumptions!$P$136</f>
        <v>0</v>
      </c>
      <c r="T271" s="151">
        <f>-T270*Assumptions!$P$136</f>
        <v>0</v>
      </c>
      <c r="U271" s="151">
        <f>-U270*Assumptions!$P$136</f>
        <v>0</v>
      </c>
      <c r="V271" s="151">
        <f>-V270*Assumptions!$P$136</f>
        <v>0</v>
      </c>
      <c r="W271" s="151">
        <f>-W270*Assumptions!$P$136</f>
        <v>0</v>
      </c>
      <c r="X271" s="151">
        <f>-X270*Assumptions!$P$136</f>
        <v>0</v>
      </c>
      <c r="Y271" s="151">
        <f>-Y270*Assumptions!$P$136</f>
        <v>0</v>
      </c>
      <c r="Z271" s="151">
        <f>-Z270*Assumptions!$P$136</f>
        <v>0</v>
      </c>
    </row>
    <row r="272" spans="2:26" x14ac:dyDescent="0.35">
      <c r="B272" s="33" t="s">
        <v>344</v>
      </c>
      <c r="F272" s="151">
        <f>+IF(YEAR(F$140)=YEAR(Assumptions!$H$30),-F259,0)</f>
        <v>0</v>
      </c>
      <c r="G272" s="151">
        <f>+IF(YEAR(G$140)=YEAR(Assumptions!$H$30),-G259,0)</f>
        <v>0</v>
      </c>
      <c r="H272" s="151">
        <f>+IF(YEAR(H$140)=YEAR(Assumptions!$H$30),-H259,0)</f>
        <v>0</v>
      </c>
      <c r="I272" s="151">
        <f>+IF(YEAR(I$140)=YEAR(Assumptions!$H$30),-I259,0)</f>
        <v>0</v>
      </c>
      <c r="J272" s="151">
        <f>+IF(YEAR(J$140)=YEAR(Assumptions!$H$30),-J259,0)</f>
        <v>0</v>
      </c>
      <c r="K272" s="151">
        <f>+IF(YEAR(K$140)=YEAR(Assumptions!$H$30),-K259,0)</f>
        <v>0</v>
      </c>
      <c r="L272" s="151">
        <f ca="1">+IF(YEAR(L$140)=YEAR(Assumptions!$H$30),-L259,0)</f>
        <v>-39065366.329977609</v>
      </c>
      <c r="M272" s="151">
        <f>+IF(YEAR(M$140)=YEAR(Assumptions!$H$30),-M259,0)</f>
        <v>0</v>
      </c>
      <c r="N272" s="151">
        <f>+IF(YEAR(N$140)=YEAR(Assumptions!$H$30),-N259,0)</f>
        <v>0</v>
      </c>
      <c r="O272" s="151">
        <f>+IF(YEAR(O$140)=YEAR(Assumptions!$H$30),-O259,0)</f>
        <v>0</v>
      </c>
      <c r="P272" s="151">
        <f>+IF(YEAR(P$140)=YEAR(Assumptions!$H$30),-P259,0)</f>
        <v>0</v>
      </c>
      <c r="Q272" s="151">
        <f>+IF(YEAR(Q$140)=YEAR(Assumptions!$H$30),-Q259,0)</f>
        <v>0</v>
      </c>
      <c r="R272" s="151">
        <f>+IF(YEAR(R$140)=YEAR(Assumptions!$H$30),-R259,0)</f>
        <v>0</v>
      </c>
      <c r="S272" s="151">
        <f>+IF(YEAR(S$140)=YEAR(Assumptions!$H$30),-S259,0)</f>
        <v>0</v>
      </c>
      <c r="T272" s="151">
        <f>+IF(YEAR(T$140)=YEAR(Assumptions!$H$30),-T259,0)</f>
        <v>0</v>
      </c>
      <c r="U272" s="151">
        <f>+IF(YEAR(U$140)=YEAR(Assumptions!$H$30),-U259,0)</f>
        <v>0</v>
      </c>
      <c r="V272" s="151">
        <f>+IF(YEAR(V$140)=YEAR(Assumptions!$H$30),-V259,0)</f>
        <v>0</v>
      </c>
      <c r="W272" s="151">
        <f>+IF(YEAR(W$140)=YEAR(Assumptions!$H$30),-W259,0)</f>
        <v>0</v>
      </c>
      <c r="X272" s="151">
        <f>+IF(YEAR(X$140)=YEAR(Assumptions!$H$30),-X259,0)</f>
        <v>0</v>
      </c>
      <c r="Y272" s="151">
        <f>+IF(YEAR(Y$140)=YEAR(Assumptions!$H$30),-Y259,0)</f>
        <v>0</v>
      </c>
      <c r="Z272" s="151">
        <f>+IF(YEAR(Z$140)=YEAR(Assumptions!$H$30),-Z259,0)</f>
        <v>0</v>
      </c>
    </row>
    <row r="273" spans="2:26" x14ac:dyDescent="0.35">
      <c r="B273" s="137" t="s">
        <v>345</v>
      </c>
      <c r="C273" s="137"/>
      <c r="D273" s="137"/>
      <c r="E273" s="137"/>
      <c r="F273" s="129">
        <f t="shared" ref="F273:Z273" si="110">+SUM(F270:F272)</f>
        <v>0</v>
      </c>
      <c r="G273" s="129">
        <f t="shared" si="110"/>
        <v>0</v>
      </c>
      <c r="H273" s="129">
        <f t="shared" si="110"/>
        <v>0</v>
      </c>
      <c r="I273" s="129">
        <f t="shared" si="110"/>
        <v>0</v>
      </c>
      <c r="J273" s="129">
        <f t="shared" si="110"/>
        <v>0</v>
      </c>
      <c r="K273" s="129">
        <f t="shared" si="110"/>
        <v>0</v>
      </c>
      <c r="L273" s="129">
        <f t="shared" ca="1" si="110"/>
        <v>17084586.874976873</v>
      </c>
      <c r="M273" s="129">
        <f t="shared" si="110"/>
        <v>0</v>
      </c>
      <c r="N273" s="129">
        <f t="shared" si="110"/>
        <v>0</v>
      </c>
      <c r="O273" s="129">
        <f t="shared" si="110"/>
        <v>0</v>
      </c>
      <c r="P273" s="129">
        <f t="shared" si="110"/>
        <v>0</v>
      </c>
      <c r="Q273" s="129">
        <f t="shared" si="110"/>
        <v>0</v>
      </c>
      <c r="R273" s="129">
        <f t="shared" si="110"/>
        <v>0</v>
      </c>
      <c r="S273" s="129">
        <f t="shared" si="110"/>
        <v>0</v>
      </c>
      <c r="T273" s="129">
        <f t="shared" si="110"/>
        <v>0</v>
      </c>
      <c r="U273" s="129">
        <f t="shared" si="110"/>
        <v>0</v>
      </c>
      <c r="V273" s="129">
        <f t="shared" si="110"/>
        <v>0</v>
      </c>
      <c r="W273" s="129">
        <f t="shared" si="110"/>
        <v>0</v>
      </c>
      <c r="X273" s="129">
        <f t="shared" si="110"/>
        <v>0</v>
      </c>
      <c r="Y273" s="129">
        <f t="shared" si="110"/>
        <v>0</v>
      </c>
      <c r="Z273" s="129">
        <f t="shared" si="110"/>
        <v>0</v>
      </c>
    </row>
    <row r="275" spans="2:26" x14ac:dyDescent="0.35">
      <c r="B275" s="138" t="s">
        <v>346</v>
      </c>
      <c r="C275" s="138"/>
      <c r="D275" s="138"/>
      <c r="E275" s="138"/>
      <c r="F275" s="139">
        <f ca="1">+IF(YEAR(F$140)&lt;=YEAR(Assumptions!$H$30),'Phase III Pro Forma'!F273+'Phase III Pro Forma'!F267,0)</f>
        <v>0</v>
      </c>
      <c r="G275" s="139">
        <f ca="1">+IF(YEAR(G$140)&lt;=YEAR(Assumptions!$H$30),'Phase III Pro Forma'!G273+'Phase III Pro Forma'!G267,0)</f>
        <v>0</v>
      </c>
      <c r="H275" s="139">
        <f ca="1">+IF(YEAR(H$140)&lt;=YEAR(Assumptions!$H$30),'Phase III Pro Forma'!H273+'Phase III Pro Forma'!H267,0)</f>
        <v>0</v>
      </c>
      <c r="I275" s="139">
        <f ca="1">+IF(YEAR(I$140)&lt;=YEAR(Assumptions!$H$30),'Phase III Pro Forma'!I273+'Phase III Pro Forma'!I267,0)</f>
        <v>-1009188.6301910884</v>
      </c>
      <c r="J275" s="139">
        <f ca="1">+IF(YEAR(J$140)&lt;=YEAR(Assumptions!$H$30),'Phase III Pro Forma'!J273+'Phase III Pro Forma'!J267,0)</f>
        <v>716198.38271625619</v>
      </c>
      <c r="K275" s="139">
        <f ca="1">+IF(YEAR(K$140)&lt;=YEAR(Assumptions!$H$30),'Phase III Pro Forma'!K273+'Phase III Pro Forma'!K267,0)</f>
        <v>716198.38271625619</v>
      </c>
      <c r="L275" s="139">
        <f ca="1">+IF(YEAR(L$140)&lt;=YEAR(Assumptions!$H$30),'Phase III Pro Forma'!L273+'Phase III Pro Forma'!L267,0)</f>
        <v>18087264.610779632</v>
      </c>
      <c r="M275" s="139">
        <f>+IF(YEAR(M$140)&lt;=YEAR(Assumptions!$H$30),'Phase III Pro Forma'!M273+'Phase III Pro Forma'!M267,0)</f>
        <v>0</v>
      </c>
      <c r="N275" s="139">
        <f>+IF(YEAR(N$140)&lt;=YEAR(Assumptions!$H$30),'Phase III Pro Forma'!N273+'Phase III Pro Forma'!N267,0)</f>
        <v>0</v>
      </c>
      <c r="O275" s="139">
        <f>+IF(YEAR(O$140)&lt;=YEAR(Assumptions!$H$30),'Phase III Pro Forma'!O273+'Phase III Pro Forma'!O267,0)</f>
        <v>0</v>
      </c>
      <c r="P275" s="139">
        <f>+IF(YEAR(P$140)&lt;=YEAR(Assumptions!$H$30),'Phase III Pro Forma'!P273+'Phase III Pro Forma'!P267,0)</f>
        <v>0</v>
      </c>
      <c r="Q275" s="139">
        <f>+IF(YEAR(Q$140)&lt;=YEAR(Assumptions!$H$30),'Phase III Pro Forma'!Q273+'Phase III Pro Forma'!Q267,0)</f>
        <v>0</v>
      </c>
      <c r="R275" s="139">
        <f>+IF(YEAR(R$140)&lt;=YEAR(Assumptions!$H$30),'Phase III Pro Forma'!R273+'Phase III Pro Forma'!R267,0)</f>
        <v>0</v>
      </c>
      <c r="S275" s="139">
        <f>+IF(YEAR(S$140)&lt;=YEAR(Assumptions!$H$30),'Phase III Pro Forma'!S273+'Phase III Pro Forma'!S267,0)</f>
        <v>0</v>
      </c>
      <c r="T275" s="139">
        <f>+IF(YEAR(T$140)&lt;=YEAR(Assumptions!$H$30),'Phase III Pro Forma'!T273+'Phase III Pro Forma'!T267,0)</f>
        <v>0</v>
      </c>
      <c r="U275" s="139">
        <f>+IF(YEAR(U$140)&lt;=YEAR(Assumptions!$H$30),'Phase III Pro Forma'!U273+'Phase III Pro Forma'!U267,0)</f>
        <v>0</v>
      </c>
      <c r="V275" s="139">
        <f>+IF(YEAR(V$140)&lt;=YEAR(Assumptions!$H$30),'Phase III Pro Forma'!V273+'Phase III Pro Forma'!V267,0)</f>
        <v>0</v>
      </c>
      <c r="W275" s="139">
        <f>+IF(YEAR(W$140)&lt;=YEAR(Assumptions!$H$30),'Phase III Pro Forma'!W273+'Phase III Pro Forma'!W267,0)</f>
        <v>0</v>
      </c>
      <c r="X275" s="139">
        <f>+IF(YEAR(X$140)&lt;=YEAR(Assumptions!$H$30),'Phase III Pro Forma'!X273+'Phase III Pro Forma'!X267,0)</f>
        <v>0</v>
      </c>
      <c r="Y275" s="139">
        <f>+IF(YEAR(Y$140)&lt;=YEAR(Assumptions!$H$30),'Phase III Pro Forma'!Y273+'Phase III Pro Forma'!Y267,0)</f>
        <v>0</v>
      </c>
      <c r="Z275" s="139">
        <f>+IF(YEAR(Z$140)&lt;=YEAR(Assumptions!$H$30),'Phase III Pro Forma'!Z273+'Phase III Pro Forma'!Z267,0)</f>
        <v>0</v>
      </c>
    </row>
    <row r="277" spans="2:26" x14ac:dyDescent="0.35">
      <c r="B277" s="138" t="s">
        <v>362</v>
      </c>
      <c r="C277" s="138"/>
      <c r="D277" s="138"/>
      <c r="E277" s="138"/>
      <c r="F277" s="139">
        <f t="shared" ref="F277:Z277" ca="1" si="111">+F275+F230+F162</f>
        <v>0</v>
      </c>
      <c r="G277" s="139">
        <f t="shared" ca="1" si="111"/>
        <v>0</v>
      </c>
      <c r="H277" s="139">
        <f t="shared" ca="1" si="111"/>
        <v>0</v>
      </c>
      <c r="I277" s="139">
        <f t="shared" ca="1" si="111"/>
        <v>36663039.119011164</v>
      </c>
      <c r="J277" s="139">
        <f t="shared" ca="1" si="111"/>
        <v>5163707.0895398315</v>
      </c>
      <c r="K277" s="139">
        <f t="shared" ca="1" si="111"/>
        <v>5446481.3733853698</v>
      </c>
      <c r="L277" s="139">
        <f t="shared" ca="1" si="111"/>
        <v>191059263.72519034</v>
      </c>
      <c r="M277" s="139">
        <f t="shared" si="111"/>
        <v>0</v>
      </c>
      <c r="N277" s="139">
        <f t="shared" si="111"/>
        <v>0</v>
      </c>
      <c r="O277" s="139">
        <f t="shared" si="111"/>
        <v>0</v>
      </c>
      <c r="P277" s="139">
        <f t="shared" si="111"/>
        <v>0</v>
      </c>
      <c r="Q277" s="139">
        <f t="shared" si="111"/>
        <v>0</v>
      </c>
      <c r="R277" s="139">
        <f t="shared" si="111"/>
        <v>0</v>
      </c>
      <c r="S277" s="139">
        <f t="shared" si="111"/>
        <v>0</v>
      </c>
      <c r="T277" s="139">
        <f t="shared" si="111"/>
        <v>0</v>
      </c>
      <c r="U277" s="139">
        <f t="shared" si="111"/>
        <v>0</v>
      </c>
      <c r="V277" s="139">
        <f t="shared" si="111"/>
        <v>0</v>
      </c>
      <c r="W277" s="139">
        <f t="shared" si="111"/>
        <v>0</v>
      </c>
      <c r="X277" s="139">
        <f t="shared" si="111"/>
        <v>0</v>
      </c>
      <c r="Y277" s="139">
        <f t="shared" si="111"/>
        <v>0</v>
      </c>
      <c r="Z277" s="139">
        <f t="shared" si="111"/>
        <v>0</v>
      </c>
    </row>
    <row r="279" spans="2:26" x14ac:dyDescent="0.35">
      <c r="B279" s="41" t="s">
        <v>448</v>
      </c>
      <c r="F279" s="34">
        <f ca="1">+F156+F300</f>
        <v>0</v>
      </c>
      <c r="G279" s="34">
        <f t="shared" ref="G279:Z279" ca="1" si="112">+G156+G300</f>
        <v>126914767.8491206</v>
      </c>
      <c r="H279" s="34">
        <f t="shared" ca="1" si="112"/>
        <v>109213677.84287049</v>
      </c>
      <c r="I279" s="34">
        <f t="shared" ca="1" si="112"/>
        <v>46705947.854801953</v>
      </c>
      <c r="J279" s="34">
        <f t="shared" ca="1" si="112"/>
        <v>0</v>
      </c>
      <c r="K279" s="34">
        <f t="shared" ca="1" si="112"/>
        <v>0</v>
      </c>
      <c r="L279" s="34">
        <f t="shared" ca="1" si="112"/>
        <v>0</v>
      </c>
      <c r="M279" s="34">
        <f t="shared" ca="1" si="112"/>
        <v>0</v>
      </c>
      <c r="N279" s="34">
        <f t="shared" ca="1" si="112"/>
        <v>0</v>
      </c>
      <c r="O279" s="34">
        <f t="shared" ca="1" si="112"/>
        <v>0</v>
      </c>
      <c r="P279" s="34">
        <f t="shared" ca="1" si="112"/>
        <v>0</v>
      </c>
      <c r="Q279" s="34">
        <f t="shared" ca="1" si="112"/>
        <v>0</v>
      </c>
      <c r="R279" s="34">
        <f t="shared" ca="1" si="112"/>
        <v>0</v>
      </c>
      <c r="S279" s="34">
        <f t="shared" ca="1" si="112"/>
        <v>0</v>
      </c>
      <c r="T279" s="34">
        <f t="shared" ca="1" si="112"/>
        <v>0</v>
      </c>
      <c r="U279" s="34">
        <f t="shared" ca="1" si="112"/>
        <v>0</v>
      </c>
      <c r="V279" s="34">
        <f t="shared" ca="1" si="112"/>
        <v>0</v>
      </c>
      <c r="W279" s="34">
        <f t="shared" ca="1" si="112"/>
        <v>0</v>
      </c>
      <c r="X279" s="34">
        <f t="shared" ca="1" si="112"/>
        <v>0</v>
      </c>
      <c r="Y279" s="34">
        <f t="shared" ca="1" si="112"/>
        <v>0</v>
      </c>
      <c r="Z279" s="34">
        <f t="shared" ca="1" si="112"/>
        <v>0</v>
      </c>
    </row>
    <row r="280" spans="2:26" x14ac:dyDescent="0.35">
      <c r="B280" s="41" t="s">
        <v>347</v>
      </c>
      <c r="F280" s="34">
        <f t="shared" ref="F280:Z280" ca="1" si="113">-F272+F262-F227+F217-F158+F147+F220+F150+F265</f>
        <v>0</v>
      </c>
      <c r="G280" s="34">
        <f t="shared" ca="1" si="113"/>
        <v>0</v>
      </c>
      <c r="H280" s="34">
        <f t="shared" ca="1" si="113"/>
        <v>0</v>
      </c>
      <c r="I280" s="34">
        <f t="shared" ca="1" si="113"/>
        <v>22851596.282757699</v>
      </c>
      <c r="J280" s="34">
        <f t="shared" ca="1" si="113"/>
        <v>20715160.605946351</v>
      </c>
      <c r="K280" s="34">
        <f t="shared" ca="1" si="113"/>
        <v>20715160.605946355</v>
      </c>
      <c r="L280" s="34">
        <f t="shared" ca="1" si="113"/>
        <v>291421299.84511465</v>
      </c>
      <c r="M280" s="34">
        <f t="shared" ca="1" si="113"/>
        <v>20715160.605946351</v>
      </c>
      <c r="N280" s="34">
        <f t="shared" ca="1" si="113"/>
        <v>20715160.605946351</v>
      </c>
      <c r="O280" s="34">
        <f t="shared" ca="1" si="113"/>
        <v>20715160.605946351</v>
      </c>
      <c r="P280" s="34">
        <f t="shared" ca="1" si="113"/>
        <v>20715160.605946351</v>
      </c>
      <c r="Q280" s="34">
        <f t="shared" ca="1" si="113"/>
        <v>20715160.605946351</v>
      </c>
      <c r="R280" s="34">
        <f t="shared" ca="1" si="113"/>
        <v>20715160.605946351</v>
      </c>
      <c r="S280" s="34">
        <f t="shared" ca="1" si="113"/>
        <v>20715160.605946351</v>
      </c>
      <c r="T280" s="34">
        <f t="shared" ca="1" si="113"/>
        <v>20715160.605946351</v>
      </c>
      <c r="U280" s="34">
        <f t="shared" ca="1" si="113"/>
        <v>20715160.605946351</v>
      </c>
      <c r="V280" s="34">
        <f t="shared" ca="1" si="113"/>
        <v>20715160.605946351</v>
      </c>
      <c r="W280" s="34">
        <f t="shared" ca="1" si="113"/>
        <v>20715160.605946351</v>
      </c>
      <c r="X280" s="34">
        <f t="shared" ca="1" si="113"/>
        <v>20715160.605946347</v>
      </c>
      <c r="Y280" s="34">
        <f t="shared" ca="1" si="113"/>
        <v>20715160.605946347</v>
      </c>
      <c r="Z280" s="34">
        <f t="shared" ca="1" si="113"/>
        <v>20715160.605946351</v>
      </c>
    </row>
    <row r="282" spans="2:26" x14ac:dyDescent="0.35">
      <c r="B282" s="37" t="s">
        <v>352</v>
      </c>
      <c r="C282" s="38"/>
      <c r="D282" s="38"/>
      <c r="E282" s="38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</row>
    <row r="284" spans="2:26" x14ac:dyDescent="0.35">
      <c r="B284" s="148" t="s">
        <v>351</v>
      </c>
      <c r="F284" s="150">
        <f>+Assumptions!$H$22</f>
        <v>45657</v>
      </c>
      <c r="G284" s="150">
        <f>+EOMONTH(F284,12)</f>
        <v>46022</v>
      </c>
      <c r="H284" s="150">
        <f t="shared" ref="H284:Z284" si="114">+EOMONTH(G284,12)</f>
        <v>46387</v>
      </c>
      <c r="I284" s="150">
        <f t="shared" si="114"/>
        <v>46752</v>
      </c>
      <c r="J284" s="150">
        <f t="shared" si="114"/>
        <v>47118</v>
      </c>
      <c r="K284" s="150">
        <f t="shared" si="114"/>
        <v>47483</v>
      </c>
      <c r="L284" s="150">
        <f t="shared" si="114"/>
        <v>47848</v>
      </c>
      <c r="M284" s="150">
        <f t="shared" si="114"/>
        <v>48213</v>
      </c>
      <c r="N284" s="150">
        <f t="shared" si="114"/>
        <v>48579</v>
      </c>
      <c r="O284" s="150">
        <f t="shared" si="114"/>
        <v>48944</v>
      </c>
      <c r="P284" s="150">
        <f t="shared" si="114"/>
        <v>49309</v>
      </c>
      <c r="Q284" s="150">
        <f t="shared" si="114"/>
        <v>49674</v>
      </c>
      <c r="R284" s="150">
        <f t="shared" si="114"/>
        <v>50040</v>
      </c>
      <c r="S284" s="150">
        <f t="shared" si="114"/>
        <v>50405</v>
      </c>
      <c r="T284" s="150">
        <f t="shared" si="114"/>
        <v>50770</v>
      </c>
      <c r="U284" s="150">
        <f t="shared" si="114"/>
        <v>51135</v>
      </c>
      <c r="V284" s="150">
        <f t="shared" si="114"/>
        <v>51501</v>
      </c>
      <c r="W284" s="150">
        <f t="shared" si="114"/>
        <v>51866</v>
      </c>
      <c r="X284" s="150">
        <f t="shared" si="114"/>
        <v>52231</v>
      </c>
      <c r="Y284" s="150">
        <f t="shared" si="114"/>
        <v>52596</v>
      </c>
      <c r="Z284" s="150">
        <f t="shared" si="114"/>
        <v>52962</v>
      </c>
    </row>
    <row r="285" spans="2:26" x14ac:dyDescent="0.35">
      <c r="B285" s="33" t="s">
        <v>61</v>
      </c>
      <c r="D285" s="48">
        <f>+SUM(F285:Z285)</f>
        <v>9121587</v>
      </c>
      <c r="E285" s="48"/>
      <c r="F285" s="34">
        <f>+IF(AND(F$284&gt;=Assumptions!$H$22,F$284&lt;Assumptions!$H$24),'S&amp;U'!$J7/ROUNDUP(Assumptions!$H$23/12,0),IF(AND(F$284&gt;=Assumptions!$H$24,F$284&lt;Assumptions!$H$26),'S&amp;U'!$J39/ROUNDUP(Assumptions!$H$25/12,0),0))</f>
        <v>9121587</v>
      </c>
      <c r="G285" s="34">
        <f>+IF(AND(G$284&gt;=Assumptions!$H$22,G$284&lt;Assumptions!$H$24),'S&amp;U'!$J7/ROUNDUP(Assumptions!$H$23/12,0),IF(AND(G$284&gt;=Assumptions!$H$24,G$284&lt;Assumptions!$H$26),'S&amp;U'!$J39/ROUNDUP(Assumptions!$H$25/12,0),0))</f>
        <v>0</v>
      </c>
      <c r="H285" s="34">
        <f>+IF(AND(H$284&gt;=Assumptions!$H$22,H$284&lt;Assumptions!$H$24),'S&amp;U'!$J7/ROUNDUP(Assumptions!$H$23/12,0),IF(AND(H$284&gt;=Assumptions!$H$24,H$284&lt;Assumptions!$H$26),'S&amp;U'!$J39/ROUNDUP(Assumptions!$H$25/12,0),0))</f>
        <v>0</v>
      </c>
      <c r="I285" s="34">
        <f>+IF(AND(I$284&gt;=Assumptions!$H$22,I$284&lt;Assumptions!$H$24),'S&amp;U'!$J7/ROUNDUP(Assumptions!$H$23/12,0),IF(AND(I$284&gt;=Assumptions!$H$24,I$284&lt;Assumptions!$H$26),'S&amp;U'!$J39/ROUNDUP(Assumptions!$H$25/12,0),0))</f>
        <v>0</v>
      </c>
      <c r="J285" s="34">
        <f>+IF(AND(J$284&gt;=Assumptions!$H$22,J$284&lt;Assumptions!$H$24),'S&amp;U'!$J7/ROUNDUP(Assumptions!$H$23/12,0),IF(AND(J$284&gt;=Assumptions!$H$24,J$284&lt;Assumptions!$H$26),'S&amp;U'!$J39/ROUNDUP(Assumptions!$H$25/12,0),0))</f>
        <v>0</v>
      </c>
      <c r="K285" s="34">
        <f>+IF(AND(K$284&gt;=Assumptions!$H$22,K$284&lt;Assumptions!$H$24),'S&amp;U'!$J7/ROUNDUP(Assumptions!$H$23/12,0),IF(AND(K$284&gt;=Assumptions!$H$24,K$284&lt;Assumptions!$H$26),'S&amp;U'!$J39/ROUNDUP(Assumptions!$H$25/12,0),0))</f>
        <v>0</v>
      </c>
      <c r="L285" s="34">
        <f>+IF(AND(L$284&gt;=Assumptions!$H$22,L$284&lt;Assumptions!$H$24),'S&amp;U'!$J7/ROUNDUP(Assumptions!$H$23/12,0),IF(AND(L$284&gt;=Assumptions!$H$24,L$284&lt;Assumptions!$H$26),'S&amp;U'!$J39/ROUNDUP(Assumptions!$H$25/12,0),0))</f>
        <v>0</v>
      </c>
      <c r="M285" s="34">
        <f>+IF(AND(M$284&gt;=Assumptions!$H$22,M$284&lt;Assumptions!$H$24),'S&amp;U'!$J7/ROUNDUP(Assumptions!$H$23/12,0),IF(AND(M$284&gt;=Assumptions!$H$24,M$284&lt;Assumptions!$H$26),'S&amp;U'!$J39/ROUNDUP(Assumptions!$H$25/12,0),0))</f>
        <v>0</v>
      </c>
      <c r="N285" s="34">
        <f>+IF(AND(N$284&gt;=Assumptions!$H$22,N$284&lt;Assumptions!$H$24),'S&amp;U'!$J7/ROUNDUP(Assumptions!$H$23/12,0),IF(AND(N$284&gt;=Assumptions!$H$24,N$284&lt;Assumptions!$H$26),'S&amp;U'!$J39/ROUNDUP(Assumptions!$H$25/12,0),0))</f>
        <v>0</v>
      </c>
      <c r="O285" s="34">
        <f>+IF(AND(O$284&gt;=Assumptions!$H$22,O$284&lt;Assumptions!$H$24),'S&amp;U'!$J7/ROUNDUP(Assumptions!$H$23/12,0),IF(AND(O$284&gt;=Assumptions!$H$24,O$284&lt;Assumptions!$H$26),'S&amp;U'!$J39/ROUNDUP(Assumptions!$H$25/12,0),0))</f>
        <v>0</v>
      </c>
      <c r="P285" s="34">
        <f>+IF(AND(P$284&gt;=Assumptions!$H$22,P$284&lt;Assumptions!$H$24),'S&amp;U'!$J7/ROUNDUP(Assumptions!$H$23/12,0),IF(AND(P$284&gt;=Assumptions!$H$24,P$284&lt;Assumptions!$H$26),'S&amp;U'!$J39/ROUNDUP(Assumptions!$H$25/12,0),0))</f>
        <v>0</v>
      </c>
      <c r="Q285" s="34">
        <f>+IF(AND(Q$284&gt;=Assumptions!$H$22,Q$284&lt;Assumptions!$H$24),'S&amp;U'!$J7/ROUNDUP(Assumptions!$H$23/12,0),IF(AND(Q$284&gt;=Assumptions!$H$24,Q$284&lt;Assumptions!$H$26),'S&amp;U'!$J39/ROUNDUP(Assumptions!$H$25/12,0),0))</f>
        <v>0</v>
      </c>
      <c r="R285" s="34">
        <f>+IF(AND(R$284&gt;=Assumptions!$H$22,R$284&lt;Assumptions!$H$24),'S&amp;U'!$J7/ROUNDUP(Assumptions!$H$23/12,0),IF(AND(R$284&gt;=Assumptions!$H$24,R$284&lt;Assumptions!$H$26),'S&amp;U'!$J39/ROUNDUP(Assumptions!$H$25/12,0),0))</f>
        <v>0</v>
      </c>
      <c r="S285" s="34">
        <f>+IF(AND(S$284&gt;=Assumptions!$H$22,S$284&lt;Assumptions!$H$24),'S&amp;U'!$J7/ROUNDUP(Assumptions!$H$23/12,0),IF(AND(S$284&gt;=Assumptions!$H$24,S$284&lt;Assumptions!$H$26),'S&amp;U'!$J39/ROUNDUP(Assumptions!$H$25/12,0),0))</f>
        <v>0</v>
      </c>
      <c r="T285" s="34">
        <f>+IF(AND(T$284&gt;=Assumptions!$H$22,T$284&lt;Assumptions!$H$24),'S&amp;U'!$J7/ROUNDUP(Assumptions!$H$23/12,0),IF(AND(T$284&gt;=Assumptions!$H$24,T$284&lt;Assumptions!$H$26),'S&amp;U'!$J39/ROUNDUP(Assumptions!$H$25/12,0),0))</f>
        <v>0</v>
      </c>
      <c r="U285" s="34">
        <f>+IF(AND(U$284&gt;=Assumptions!$H$22,U$284&lt;Assumptions!$H$24),'S&amp;U'!$J7/ROUNDUP(Assumptions!$H$23/12,0),IF(AND(U$284&gt;=Assumptions!$H$24,U$284&lt;Assumptions!$H$26),'S&amp;U'!$J39/ROUNDUP(Assumptions!$H$25/12,0),0))</f>
        <v>0</v>
      </c>
      <c r="V285" s="34">
        <f>+IF(AND(V$284&gt;=Assumptions!$H$22,V$284&lt;Assumptions!$H$24),'S&amp;U'!$J7/ROUNDUP(Assumptions!$H$23/12,0),IF(AND(V$284&gt;=Assumptions!$H$24,V$284&lt;Assumptions!$H$26),'S&amp;U'!$J39/ROUNDUP(Assumptions!$H$25/12,0),0))</f>
        <v>0</v>
      </c>
      <c r="W285" s="34">
        <f>+IF(AND(W$284&gt;=Assumptions!$H$22,W$284&lt;Assumptions!$H$24),'S&amp;U'!$J7/ROUNDUP(Assumptions!$H$23/12,0),IF(AND(W$284&gt;=Assumptions!$H$24,W$284&lt;Assumptions!$H$26),'S&amp;U'!$J39/ROUNDUP(Assumptions!$H$25/12,0),0))</f>
        <v>0</v>
      </c>
      <c r="X285" s="34">
        <f>+IF(AND(X$284&gt;=Assumptions!$H$22,X$284&lt;Assumptions!$H$24),'S&amp;U'!$J7/ROUNDUP(Assumptions!$H$23/12,0),IF(AND(X$284&gt;=Assumptions!$H$24,X$284&lt;Assumptions!$H$26),'S&amp;U'!$J39/ROUNDUP(Assumptions!$H$25/12,0),0))</f>
        <v>0</v>
      </c>
      <c r="Y285" s="34">
        <f>+IF(AND(Y$284&gt;=Assumptions!$H$22,Y$284&lt;Assumptions!$H$24),'S&amp;U'!$J7/ROUNDUP(Assumptions!$H$23/12,0),IF(AND(Y$284&gt;=Assumptions!$H$24,Y$284&lt;Assumptions!$H$26),'S&amp;U'!$J39/ROUNDUP(Assumptions!$H$25/12,0),0))</f>
        <v>0</v>
      </c>
      <c r="Z285" s="34">
        <f>+IF(AND(Z$284&gt;=Assumptions!$H$22,Z$284&lt;Assumptions!$H$24),'S&amp;U'!$J7/ROUNDUP(Assumptions!$H$23/12,0),IF(AND(Z$284&gt;=Assumptions!$H$24,Z$284&lt;Assumptions!$H$26),'S&amp;U'!$J39/ROUNDUP(Assumptions!$H$25/12,0),0))</f>
        <v>0</v>
      </c>
    </row>
    <row r="286" spans="2:26" x14ac:dyDescent="0.35">
      <c r="B286" s="33" t="s">
        <v>8</v>
      </c>
      <c r="D286" s="48">
        <f t="shared" ref="D286:D291" si="115">+SUM(F286:Z286)</f>
        <v>29495173.948328272</v>
      </c>
      <c r="E286" s="48"/>
      <c r="F286" s="151">
        <f>+IF(AND(F$284&gt;=Assumptions!$H$22,F$284&lt;Assumptions!$H$24),'S&amp;U'!$J8/ROUNDUP(Assumptions!$H$23/12,0),IF(AND(F$284&gt;=Assumptions!$H$24,F$284&lt;Assumptions!$H$26),'S&amp;U'!$J40/ROUNDUP(Assumptions!$H$25/12,0),0))</f>
        <v>29495173.948328272</v>
      </c>
      <c r="G286" s="151">
        <f>+IF(AND(G$284&gt;=Assumptions!$H$22,G$284&lt;Assumptions!$H$24),'S&amp;U'!$J8/ROUNDUP(Assumptions!$H$23/12,0),IF(AND(G$284&gt;=Assumptions!$H$24,G$284&lt;Assumptions!$H$26),'S&amp;U'!$J40/ROUNDUP(Assumptions!$H$25/12,0),0))</f>
        <v>0</v>
      </c>
      <c r="H286" s="151">
        <f>+IF(AND(H$284&gt;=Assumptions!$H$22,H$284&lt;Assumptions!$H$24),'S&amp;U'!$J8/ROUNDUP(Assumptions!$H$23/12,0),IF(AND(H$284&gt;=Assumptions!$H$24,H$284&lt;Assumptions!$H$26),'S&amp;U'!$J40/ROUNDUP(Assumptions!$H$25/12,0),0))</f>
        <v>0</v>
      </c>
      <c r="I286" s="151">
        <f>+IF(AND(I$284&gt;=Assumptions!$H$22,I$284&lt;Assumptions!$H$24),'S&amp;U'!$J8/ROUNDUP(Assumptions!$H$23/12,0),IF(AND(I$284&gt;=Assumptions!$H$24,I$284&lt;Assumptions!$H$26),'S&amp;U'!$J40/ROUNDUP(Assumptions!$H$25/12,0),0))</f>
        <v>0</v>
      </c>
      <c r="J286" s="151">
        <f>+IF(AND(J$284&gt;=Assumptions!$H$22,J$284&lt;Assumptions!$H$24),'S&amp;U'!$J8/ROUNDUP(Assumptions!$H$23/12,0),IF(AND(J$284&gt;=Assumptions!$H$24,J$284&lt;Assumptions!$H$26),'S&amp;U'!$J40/ROUNDUP(Assumptions!$H$25/12,0),0))</f>
        <v>0</v>
      </c>
      <c r="K286" s="151">
        <f>+IF(AND(K$284&gt;=Assumptions!$H$22,K$284&lt;Assumptions!$H$24),'S&amp;U'!$J8/ROUNDUP(Assumptions!$H$23/12,0),IF(AND(K$284&gt;=Assumptions!$H$24,K$284&lt;Assumptions!$H$26),'S&amp;U'!$J40/ROUNDUP(Assumptions!$H$25/12,0),0))</f>
        <v>0</v>
      </c>
      <c r="L286" s="151">
        <f>+IF(AND(L$284&gt;=Assumptions!$H$22,L$284&lt;Assumptions!$H$24),'S&amp;U'!$J8/ROUNDUP(Assumptions!$H$23/12,0),IF(AND(L$284&gt;=Assumptions!$H$24,L$284&lt;Assumptions!$H$26),'S&amp;U'!$J40/ROUNDUP(Assumptions!$H$25/12,0),0))</f>
        <v>0</v>
      </c>
      <c r="M286" s="151">
        <f>+IF(AND(M$284&gt;=Assumptions!$H$22,M$284&lt;Assumptions!$H$24),'S&amp;U'!$J8/ROUNDUP(Assumptions!$H$23/12,0),IF(AND(M$284&gt;=Assumptions!$H$24,M$284&lt;Assumptions!$H$26),'S&amp;U'!$J40/ROUNDUP(Assumptions!$H$25/12,0),0))</f>
        <v>0</v>
      </c>
      <c r="N286" s="151">
        <f>+IF(AND(N$284&gt;=Assumptions!$H$22,N$284&lt;Assumptions!$H$24),'S&amp;U'!$J8/ROUNDUP(Assumptions!$H$23/12,0),IF(AND(N$284&gt;=Assumptions!$H$24,N$284&lt;Assumptions!$H$26),'S&amp;U'!$J40/ROUNDUP(Assumptions!$H$25/12,0),0))</f>
        <v>0</v>
      </c>
      <c r="O286" s="151">
        <f>+IF(AND(O$284&gt;=Assumptions!$H$22,O$284&lt;Assumptions!$H$24),'S&amp;U'!$J8/ROUNDUP(Assumptions!$H$23/12,0),IF(AND(O$284&gt;=Assumptions!$H$24,O$284&lt;Assumptions!$H$26),'S&amp;U'!$J40/ROUNDUP(Assumptions!$H$25/12,0),0))</f>
        <v>0</v>
      </c>
      <c r="P286" s="151">
        <f>+IF(AND(P$284&gt;=Assumptions!$H$22,P$284&lt;Assumptions!$H$24),'S&amp;U'!$J8/ROUNDUP(Assumptions!$H$23/12,0),IF(AND(P$284&gt;=Assumptions!$H$24,P$284&lt;Assumptions!$H$26),'S&amp;U'!$J40/ROUNDUP(Assumptions!$H$25/12,0),0))</f>
        <v>0</v>
      </c>
      <c r="Q286" s="151">
        <f>+IF(AND(Q$284&gt;=Assumptions!$H$22,Q$284&lt;Assumptions!$H$24),'S&amp;U'!$J8/ROUNDUP(Assumptions!$H$23/12,0),IF(AND(Q$284&gt;=Assumptions!$H$24,Q$284&lt;Assumptions!$H$26),'S&amp;U'!$J40/ROUNDUP(Assumptions!$H$25/12,0),0))</f>
        <v>0</v>
      </c>
      <c r="R286" s="151">
        <f>+IF(AND(R$284&gt;=Assumptions!$H$22,R$284&lt;Assumptions!$H$24),'S&amp;U'!$J8/ROUNDUP(Assumptions!$H$23/12,0),IF(AND(R$284&gt;=Assumptions!$H$24,R$284&lt;Assumptions!$H$26),'S&amp;U'!$J40/ROUNDUP(Assumptions!$H$25/12,0),0))</f>
        <v>0</v>
      </c>
      <c r="S286" s="151">
        <f>+IF(AND(S$284&gt;=Assumptions!$H$22,S$284&lt;Assumptions!$H$24),'S&amp;U'!$J8/ROUNDUP(Assumptions!$H$23/12,0),IF(AND(S$284&gt;=Assumptions!$H$24,S$284&lt;Assumptions!$H$26),'S&amp;U'!$J40/ROUNDUP(Assumptions!$H$25/12,0),0))</f>
        <v>0</v>
      </c>
      <c r="T286" s="151">
        <f>+IF(AND(T$284&gt;=Assumptions!$H$22,T$284&lt;Assumptions!$H$24),'S&amp;U'!$J8/ROUNDUP(Assumptions!$H$23/12,0),IF(AND(T$284&gt;=Assumptions!$H$24,T$284&lt;Assumptions!$H$26),'S&amp;U'!$J40/ROUNDUP(Assumptions!$H$25/12,0),0))</f>
        <v>0</v>
      </c>
      <c r="U286" s="151">
        <f>+IF(AND(U$284&gt;=Assumptions!$H$22,U$284&lt;Assumptions!$H$24),'S&amp;U'!$J8/ROUNDUP(Assumptions!$H$23/12,0),IF(AND(U$284&gt;=Assumptions!$H$24,U$284&lt;Assumptions!$H$26),'S&amp;U'!$J40/ROUNDUP(Assumptions!$H$25/12,0),0))</f>
        <v>0</v>
      </c>
      <c r="V286" s="151">
        <f>+IF(AND(V$284&gt;=Assumptions!$H$22,V$284&lt;Assumptions!$H$24),'S&amp;U'!$J8/ROUNDUP(Assumptions!$H$23/12,0),IF(AND(V$284&gt;=Assumptions!$H$24,V$284&lt;Assumptions!$H$26),'S&amp;U'!$J40/ROUNDUP(Assumptions!$H$25/12,0),0))</f>
        <v>0</v>
      </c>
      <c r="W286" s="151">
        <f>+IF(AND(W$284&gt;=Assumptions!$H$22,W$284&lt;Assumptions!$H$24),'S&amp;U'!$J8/ROUNDUP(Assumptions!$H$23/12,0),IF(AND(W$284&gt;=Assumptions!$H$24,W$284&lt;Assumptions!$H$26),'S&amp;U'!$J40/ROUNDUP(Assumptions!$H$25/12,0),0))</f>
        <v>0</v>
      </c>
      <c r="X286" s="151">
        <f>+IF(AND(X$284&gt;=Assumptions!$H$22,X$284&lt;Assumptions!$H$24),'S&amp;U'!$J8/ROUNDUP(Assumptions!$H$23/12,0),IF(AND(X$284&gt;=Assumptions!$H$24,X$284&lt;Assumptions!$H$26),'S&amp;U'!$J40/ROUNDUP(Assumptions!$H$25/12,0),0))</f>
        <v>0</v>
      </c>
      <c r="Y286" s="151">
        <f>+IF(AND(Y$284&gt;=Assumptions!$H$22,Y$284&lt;Assumptions!$H$24),'S&amp;U'!$J8/ROUNDUP(Assumptions!$H$23/12,0),IF(AND(Y$284&gt;=Assumptions!$H$24,Y$284&lt;Assumptions!$H$26),'S&amp;U'!$J40/ROUNDUP(Assumptions!$H$25/12,0),0))</f>
        <v>0</v>
      </c>
      <c r="Z286" s="151">
        <f>+IF(AND(Z$284&gt;=Assumptions!$H$22,Z$284&lt;Assumptions!$H$24),'S&amp;U'!$J8/ROUNDUP(Assumptions!$H$23/12,0),IF(AND(Z$284&gt;=Assumptions!$H$24,Z$284&lt;Assumptions!$H$26),'S&amp;U'!$J40/ROUNDUP(Assumptions!$H$25/12,0),0))</f>
        <v>0</v>
      </c>
    </row>
    <row r="287" spans="2:26" x14ac:dyDescent="0.35">
      <c r="B287" s="33" t="s">
        <v>57</v>
      </c>
      <c r="D287" s="48">
        <f t="shared" ca="1" si="115"/>
        <v>291051583.54014122</v>
      </c>
      <c r="E287" s="48"/>
      <c r="F287" s="151">
        <f>+IF(AND(F$284&gt;=Assumptions!$H$22,F$284&lt;Assumptions!$H$24),'S&amp;U'!$J9/ROUNDUP(Assumptions!$H$23/12,0),IF(AND(F$284&gt;=Assumptions!$H$24,F$284&lt;Assumptions!$H$26),'S&amp;U'!$J41/ROUNDUP(Assumptions!$H$25/12,0),0))</f>
        <v>0</v>
      </c>
      <c r="G287" s="151">
        <f ca="1">+IF(AND(G$284&gt;=Assumptions!$H$22,G$284&lt;Assumptions!$H$24),'S&amp;U'!$J9/ROUNDUP(Assumptions!$H$23/12,0),IF(AND(G$284&gt;=Assumptions!$H$24,G$284&lt;Assumptions!$H$26),'S&amp;U'!$J41/ROUNDUP(Assumptions!$H$25/12,0),0))</f>
        <v>145525791.77007061</v>
      </c>
      <c r="H287" s="151">
        <f ca="1">+IF(AND(H$284&gt;=Assumptions!$H$22,H$284&lt;Assumptions!$H$24),'S&amp;U'!$J9/ROUNDUP(Assumptions!$H$23/12,0),IF(AND(H$284&gt;=Assumptions!$H$24,H$284&lt;Assumptions!$H$26),'S&amp;U'!$J41/ROUNDUP(Assumptions!$H$25/12,0),0))</f>
        <v>145525791.77007061</v>
      </c>
      <c r="I287" s="151">
        <f>+IF(AND(I$284&gt;=Assumptions!$H$22,I$284&lt;Assumptions!$H$24),'S&amp;U'!$J9/ROUNDUP(Assumptions!$H$23/12,0),IF(AND(I$284&gt;=Assumptions!$H$24,I$284&lt;Assumptions!$H$26),'S&amp;U'!$J41/ROUNDUP(Assumptions!$H$25/12,0),0))</f>
        <v>0</v>
      </c>
      <c r="J287" s="151">
        <f>+IF(AND(J$284&gt;=Assumptions!$H$22,J$284&lt;Assumptions!$H$24),'S&amp;U'!$J9/ROUNDUP(Assumptions!$H$23/12,0),IF(AND(J$284&gt;=Assumptions!$H$24,J$284&lt;Assumptions!$H$26),'S&amp;U'!$J41/ROUNDUP(Assumptions!$H$25/12,0),0))</f>
        <v>0</v>
      </c>
      <c r="K287" s="151">
        <f>+IF(AND(K$284&gt;=Assumptions!$H$22,K$284&lt;Assumptions!$H$24),'S&amp;U'!$J9/ROUNDUP(Assumptions!$H$23/12,0),IF(AND(K$284&gt;=Assumptions!$H$24,K$284&lt;Assumptions!$H$26),'S&amp;U'!$J41/ROUNDUP(Assumptions!$H$25/12,0),0))</f>
        <v>0</v>
      </c>
      <c r="L287" s="151">
        <f>+IF(AND(L$284&gt;=Assumptions!$H$22,L$284&lt;Assumptions!$H$24),'S&amp;U'!$J9/ROUNDUP(Assumptions!$H$23/12,0),IF(AND(L$284&gt;=Assumptions!$H$24,L$284&lt;Assumptions!$H$26),'S&amp;U'!$J41/ROUNDUP(Assumptions!$H$25/12,0),0))</f>
        <v>0</v>
      </c>
      <c r="M287" s="151">
        <f>+IF(AND(M$284&gt;=Assumptions!$H$22,M$284&lt;Assumptions!$H$24),'S&amp;U'!$J9/ROUNDUP(Assumptions!$H$23/12,0),IF(AND(M$284&gt;=Assumptions!$H$24,M$284&lt;Assumptions!$H$26),'S&amp;U'!$J41/ROUNDUP(Assumptions!$H$25/12,0),0))</f>
        <v>0</v>
      </c>
      <c r="N287" s="151">
        <f>+IF(AND(N$284&gt;=Assumptions!$H$22,N$284&lt;Assumptions!$H$24),'S&amp;U'!$J9/ROUNDUP(Assumptions!$H$23/12,0),IF(AND(N$284&gt;=Assumptions!$H$24,N$284&lt;Assumptions!$H$26),'S&amp;U'!$J41/ROUNDUP(Assumptions!$H$25/12,0),0))</f>
        <v>0</v>
      </c>
      <c r="O287" s="151">
        <f>+IF(AND(O$284&gt;=Assumptions!$H$22,O$284&lt;Assumptions!$H$24),'S&amp;U'!$J9/ROUNDUP(Assumptions!$H$23/12,0),IF(AND(O$284&gt;=Assumptions!$H$24,O$284&lt;Assumptions!$H$26),'S&amp;U'!$J41/ROUNDUP(Assumptions!$H$25/12,0),0))</f>
        <v>0</v>
      </c>
      <c r="P287" s="151">
        <f>+IF(AND(P$284&gt;=Assumptions!$H$22,P$284&lt;Assumptions!$H$24),'S&amp;U'!$J9/ROUNDUP(Assumptions!$H$23/12,0),IF(AND(P$284&gt;=Assumptions!$H$24,P$284&lt;Assumptions!$H$26),'S&amp;U'!$J41/ROUNDUP(Assumptions!$H$25/12,0),0))</f>
        <v>0</v>
      </c>
      <c r="Q287" s="151">
        <f>+IF(AND(Q$284&gt;=Assumptions!$H$22,Q$284&lt;Assumptions!$H$24),'S&amp;U'!$J9/ROUNDUP(Assumptions!$H$23/12,0),IF(AND(Q$284&gt;=Assumptions!$H$24,Q$284&lt;Assumptions!$H$26),'S&amp;U'!$J41/ROUNDUP(Assumptions!$H$25/12,0),0))</f>
        <v>0</v>
      </c>
      <c r="R287" s="151">
        <f>+IF(AND(R$284&gt;=Assumptions!$H$22,R$284&lt;Assumptions!$H$24),'S&amp;U'!$J9/ROUNDUP(Assumptions!$H$23/12,0),IF(AND(R$284&gt;=Assumptions!$H$24,R$284&lt;Assumptions!$H$26),'S&amp;U'!$J41/ROUNDUP(Assumptions!$H$25/12,0),0))</f>
        <v>0</v>
      </c>
      <c r="S287" s="151">
        <f>+IF(AND(S$284&gt;=Assumptions!$H$22,S$284&lt;Assumptions!$H$24),'S&amp;U'!$J9/ROUNDUP(Assumptions!$H$23/12,0),IF(AND(S$284&gt;=Assumptions!$H$24,S$284&lt;Assumptions!$H$26),'S&amp;U'!$J41/ROUNDUP(Assumptions!$H$25/12,0),0))</f>
        <v>0</v>
      </c>
      <c r="T287" s="151">
        <f>+IF(AND(T$284&gt;=Assumptions!$H$22,T$284&lt;Assumptions!$H$24),'S&amp;U'!$J9/ROUNDUP(Assumptions!$H$23/12,0),IF(AND(T$284&gt;=Assumptions!$H$24,T$284&lt;Assumptions!$H$26),'S&amp;U'!$J41/ROUNDUP(Assumptions!$H$25/12,0),0))</f>
        <v>0</v>
      </c>
      <c r="U287" s="151">
        <f>+IF(AND(U$284&gt;=Assumptions!$H$22,U$284&lt;Assumptions!$H$24),'S&amp;U'!$J9/ROUNDUP(Assumptions!$H$23/12,0),IF(AND(U$284&gt;=Assumptions!$H$24,U$284&lt;Assumptions!$H$26),'S&amp;U'!$J41/ROUNDUP(Assumptions!$H$25/12,0),0))</f>
        <v>0</v>
      </c>
      <c r="V287" s="151">
        <f>+IF(AND(V$284&gt;=Assumptions!$H$22,V$284&lt;Assumptions!$H$24),'S&amp;U'!$J9/ROUNDUP(Assumptions!$H$23/12,0),IF(AND(V$284&gt;=Assumptions!$H$24,V$284&lt;Assumptions!$H$26),'S&amp;U'!$J41/ROUNDUP(Assumptions!$H$25/12,0),0))</f>
        <v>0</v>
      </c>
      <c r="W287" s="151">
        <f>+IF(AND(W$284&gt;=Assumptions!$H$22,W$284&lt;Assumptions!$H$24),'S&amp;U'!$J9/ROUNDUP(Assumptions!$H$23/12,0),IF(AND(W$284&gt;=Assumptions!$H$24,W$284&lt;Assumptions!$H$26),'S&amp;U'!$J41/ROUNDUP(Assumptions!$H$25/12,0),0))</f>
        <v>0</v>
      </c>
      <c r="X287" s="151">
        <f>+IF(AND(X$284&gt;=Assumptions!$H$22,X$284&lt;Assumptions!$H$24),'S&amp;U'!$J9/ROUNDUP(Assumptions!$H$23/12,0),IF(AND(X$284&gt;=Assumptions!$H$24,X$284&lt;Assumptions!$H$26),'S&amp;U'!$J41/ROUNDUP(Assumptions!$H$25/12,0),0))</f>
        <v>0</v>
      </c>
      <c r="Y287" s="151">
        <f>+IF(AND(Y$284&gt;=Assumptions!$H$22,Y$284&lt;Assumptions!$H$24),'S&amp;U'!$J9/ROUNDUP(Assumptions!$H$23/12,0),IF(AND(Y$284&gt;=Assumptions!$H$24,Y$284&lt;Assumptions!$H$26),'S&amp;U'!$J41/ROUNDUP(Assumptions!$H$25/12,0),0))</f>
        <v>0</v>
      </c>
      <c r="Z287" s="151">
        <f>+IF(AND(Z$284&gt;=Assumptions!$H$22,Z$284&lt;Assumptions!$H$24),'S&amp;U'!$J9/ROUNDUP(Assumptions!$H$23/12,0),IF(AND(Z$284&gt;=Assumptions!$H$24,Z$284&lt;Assumptions!$H$26),'S&amp;U'!$J41/ROUNDUP(Assumptions!$H$25/12,0),0))</f>
        <v>0</v>
      </c>
    </row>
    <row r="288" spans="2:26" x14ac:dyDescent="0.35">
      <c r="B288" s="33" t="s">
        <v>58</v>
      </c>
      <c r="D288" s="48">
        <f t="shared" ca="1" si="115"/>
        <v>24310374.98793355</v>
      </c>
      <c r="E288" s="48"/>
      <c r="F288" s="151">
        <f ca="1">+IF(AND(F$284&gt;=Assumptions!$H$22,F$284&lt;Assumptions!$H$24),'S&amp;U'!$J10/ROUNDUP(Assumptions!$H$23/12,0),IF(AND(F$284&gt;=Assumptions!$H$24,F$284&lt;Assumptions!$H$26),'S&amp;U'!$J42/ROUNDUP(Assumptions!$H$25/12,0),0))</f>
        <v>13553253.988119861</v>
      </c>
      <c r="G288" s="151">
        <f ca="1">+IF(AND(G$284&gt;=Assumptions!$H$22,G$284&lt;Assumptions!$H$24),'S&amp;U'!$J10/ROUNDUP(Assumptions!$H$23/12,0),IF(AND(G$284&gt;=Assumptions!$H$24,G$284&lt;Assumptions!$H$26),'S&amp;U'!$J42/ROUNDUP(Assumptions!$H$25/12,0),0))</f>
        <v>5378560.4999068445</v>
      </c>
      <c r="H288" s="151">
        <f ca="1">+IF(AND(H$284&gt;=Assumptions!$H$22,H$284&lt;Assumptions!$H$24),'S&amp;U'!$J10/ROUNDUP(Assumptions!$H$23/12,0),IF(AND(H$284&gt;=Assumptions!$H$24,H$284&lt;Assumptions!$H$26),'S&amp;U'!$J42/ROUNDUP(Assumptions!$H$25/12,0),0))</f>
        <v>5378560.4999068445</v>
      </c>
      <c r="I288" s="151">
        <f>+IF(AND(I$284&gt;=Assumptions!$H$22,I$284&lt;Assumptions!$H$24),'S&amp;U'!$J10/ROUNDUP(Assumptions!$H$23/12,0),IF(AND(I$284&gt;=Assumptions!$H$24,I$284&lt;Assumptions!$H$26),'S&amp;U'!$J42/ROUNDUP(Assumptions!$H$25/12,0),0))</f>
        <v>0</v>
      </c>
      <c r="J288" s="151">
        <f>+IF(AND(J$284&gt;=Assumptions!$H$22,J$284&lt;Assumptions!$H$24),'S&amp;U'!$J10/ROUNDUP(Assumptions!$H$23/12,0),IF(AND(J$284&gt;=Assumptions!$H$24,J$284&lt;Assumptions!$H$26),'S&amp;U'!$J42/ROUNDUP(Assumptions!$H$25/12,0),0))</f>
        <v>0</v>
      </c>
      <c r="K288" s="151">
        <f>+IF(AND(K$284&gt;=Assumptions!$H$22,K$284&lt;Assumptions!$H$24),'S&amp;U'!$J10/ROUNDUP(Assumptions!$H$23/12,0),IF(AND(K$284&gt;=Assumptions!$H$24,K$284&lt;Assumptions!$H$26),'S&amp;U'!$J42/ROUNDUP(Assumptions!$H$25/12,0),0))</f>
        <v>0</v>
      </c>
      <c r="L288" s="151">
        <f>+IF(AND(L$284&gt;=Assumptions!$H$22,L$284&lt;Assumptions!$H$24),'S&amp;U'!$J10/ROUNDUP(Assumptions!$H$23/12,0),IF(AND(L$284&gt;=Assumptions!$H$24,L$284&lt;Assumptions!$H$26),'S&amp;U'!$J42/ROUNDUP(Assumptions!$H$25/12,0),0))</f>
        <v>0</v>
      </c>
      <c r="M288" s="151">
        <f>+IF(AND(M$284&gt;=Assumptions!$H$22,M$284&lt;Assumptions!$H$24),'S&amp;U'!$J10/ROUNDUP(Assumptions!$H$23/12,0),IF(AND(M$284&gt;=Assumptions!$H$24,M$284&lt;Assumptions!$H$26),'S&amp;U'!$J42/ROUNDUP(Assumptions!$H$25/12,0),0))</f>
        <v>0</v>
      </c>
      <c r="N288" s="151">
        <f>+IF(AND(N$284&gt;=Assumptions!$H$22,N$284&lt;Assumptions!$H$24),'S&amp;U'!$J10/ROUNDUP(Assumptions!$H$23/12,0),IF(AND(N$284&gt;=Assumptions!$H$24,N$284&lt;Assumptions!$H$26),'S&amp;U'!$J42/ROUNDUP(Assumptions!$H$25/12,0),0))</f>
        <v>0</v>
      </c>
      <c r="O288" s="151">
        <f>+IF(AND(O$284&gt;=Assumptions!$H$22,O$284&lt;Assumptions!$H$24),'S&amp;U'!$J10/ROUNDUP(Assumptions!$H$23/12,0),IF(AND(O$284&gt;=Assumptions!$H$24,O$284&lt;Assumptions!$H$26),'S&amp;U'!$J42/ROUNDUP(Assumptions!$H$25/12,0),0))</f>
        <v>0</v>
      </c>
      <c r="P288" s="151">
        <f>+IF(AND(P$284&gt;=Assumptions!$H$22,P$284&lt;Assumptions!$H$24),'S&amp;U'!$J10/ROUNDUP(Assumptions!$H$23/12,0),IF(AND(P$284&gt;=Assumptions!$H$24,P$284&lt;Assumptions!$H$26),'S&amp;U'!$J42/ROUNDUP(Assumptions!$H$25/12,0),0))</f>
        <v>0</v>
      </c>
      <c r="Q288" s="151">
        <f>+IF(AND(Q$284&gt;=Assumptions!$H$22,Q$284&lt;Assumptions!$H$24),'S&amp;U'!$J10/ROUNDUP(Assumptions!$H$23/12,0),IF(AND(Q$284&gt;=Assumptions!$H$24,Q$284&lt;Assumptions!$H$26),'S&amp;U'!$J42/ROUNDUP(Assumptions!$H$25/12,0),0))</f>
        <v>0</v>
      </c>
      <c r="R288" s="151">
        <f>+IF(AND(R$284&gt;=Assumptions!$H$22,R$284&lt;Assumptions!$H$24),'S&amp;U'!$J10/ROUNDUP(Assumptions!$H$23/12,0),IF(AND(R$284&gt;=Assumptions!$H$24,R$284&lt;Assumptions!$H$26),'S&amp;U'!$J42/ROUNDUP(Assumptions!$H$25/12,0),0))</f>
        <v>0</v>
      </c>
      <c r="S288" s="151">
        <f>+IF(AND(S$284&gt;=Assumptions!$H$22,S$284&lt;Assumptions!$H$24),'S&amp;U'!$J10/ROUNDUP(Assumptions!$H$23/12,0),IF(AND(S$284&gt;=Assumptions!$H$24,S$284&lt;Assumptions!$H$26),'S&amp;U'!$J42/ROUNDUP(Assumptions!$H$25/12,0),0))</f>
        <v>0</v>
      </c>
      <c r="T288" s="151">
        <f>+IF(AND(T$284&gt;=Assumptions!$H$22,T$284&lt;Assumptions!$H$24),'S&amp;U'!$J10/ROUNDUP(Assumptions!$H$23/12,0),IF(AND(T$284&gt;=Assumptions!$H$24,T$284&lt;Assumptions!$H$26),'S&amp;U'!$J42/ROUNDUP(Assumptions!$H$25/12,0),0))</f>
        <v>0</v>
      </c>
      <c r="U288" s="151">
        <f>+IF(AND(U$284&gt;=Assumptions!$H$22,U$284&lt;Assumptions!$H$24),'S&amp;U'!$J10/ROUNDUP(Assumptions!$H$23/12,0),IF(AND(U$284&gt;=Assumptions!$H$24,U$284&lt;Assumptions!$H$26),'S&amp;U'!$J42/ROUNDUP(Assumptions!$H$25/12,0),0))</f>
        <v>0</v>
      </c>
      <c r="V288" s="151">
        <f>+IF(AND(V$284&gt;=Assumptions!$H$22,V$284&lt;Assumptions!$H$24),'S&amp;U'!$J10/ROUNDUP(Assumptions!$H$23/12,0),IF(AND(V$284&gt;=Assumptions!$H$24,V$284&lt;Assumptions!$H$26),'S&amp;U'!$J42/ROUNDUP(Assumptions!$H$25/12,0),0))</f>
        <v>0</v>
      </c>
      <c r="W288" s="151">
        <f>+IF(AND(W$284&gt;=Assumptions!$H$22,W$284&lt;Assumptions!$H$24),'S&amp;U'!$J10/ROUNDUP(Assumptions!$H$23/12,0),IF(AND(W$284&gt;=Assumptions!$H$24,W$284&lt;Assumptions!$H$26),'S&amp;U'!$J42/ROUNDUP(Assumptions!$H$25/12,0),0))</f>
        <v>0</v>
      </c>
      <c r="X288" s="151">
        <f>+IF(AND(X$284&gt;=Assumptions!$H$22,X$284&lt;Assumptions!$H$24),'S&amp;U'!$J10/ROUNDUP(Assumptions!$H$23/12,0),IF(AND(X$284&gt;=Assumptions!$H$24,X$284&lt;Assumptions!$H$26),'S&amp;U'!$J42/ROUNDUP(Assumptions!$H$25/12,0),0))</f>
        <v>0</v>
      </c>
      <c r="Y288" s="151">
        <f>+IF(AND(Y$284&gt;=Assumptions!$H$22,Y$284&lt;Assumptions!$H$24),'S&amp;U'!$J10/ROUNDUP(Assumptions!$H$23/12,0),IF(AND(Y$284&gt;=Assumptions!$H$24,Y$284&lt;Assumptions!$H$26),'S&amp;U'!$J42/ROUNDUP(Assumptions!$H$25/12,0),0))</f>
        <v>0</v>
      </c>
      <c r="Z288" s="151">
        <f>+IF(AND(Z$284&gt;=Assumptions!$H$22,Z$284&lt;Assumptions!$H$24),'S&amp;U'!$J10/ROUNDUP(Assumptions!$H$23/12,0),IF(AND(Z$284&gt;=Assumptions!$H$24,Z$284&lt;Assumptions!$H$26),'S&amp;U'!$J42/ROUNDUP(Assumptions!$H$25/12,0),0))</f>
        <v>0</v>
      </c>
    </row>
    <row r="289" spans="2:26" x14ac:dyDescent="0.35">
      <c r="B289" s="33" t="s">
        <v>80</v>
      </c>
      <c r="D289" s="48">
        <f t="shared" ca="1" si="115"/>
        <v>27580752.127430357</v>
      </c>
      <c r="E289" s="48"/>
      <c r="F289" s="151">
        <f>+IF(AND(F$284&gt;=Assumptions!$H$22,F$284&lt;Assumptions!$H$24),'S&amp;U'!$J11/ROUNDUP(Assumptions!$H$23/12,0),IF(AND(F$284&gt;=Assumptions!$H$24,F$284&lt;Assumptions!$H$26),'S&amp;U'!$J43/ROUNDUP(Assumptions!$H$25/12,0),0))</f>
        <v>0</v>
      </c>
      <c r="G289" s="151">
        <f ca="1">+IF(AND(G$284&gt;=Assumptions!$H$22,G$284&lt;Assumptions!$H$24),'S&amp;U'!$J11/ROUNDUP(Assumptions!$H$23/12,0),IF(AND(G$284&gt;=Assumptions!$H$24,G$284&lt;Assumptions!$H$26),'S&amp;U'!$J43/ROUNDUP(Assumptions!$H$25/12,0),0))</f>
        <v>13790376.063715179</v>
      </c>
      <c r="H289" s="151">
        <f ca="1">+IF(AND(H$284&gt;=Assumptions!$H$22,H$284&lt;Assumptions!$H$24),'S&amp;U'!$J11/ROUNDUP(Assumptions!$H$23/12,0),IF(AND(H$284&gt;=Assumptions!$H$24,H$284&lt;Assumptions!$H$26),'S&amp;U'!$J43/ROUNDUP(Assumptions!$H$25/12,0),0))</f>
        <v>13790376.063715179</v>
      </c>
      <c r="I289" s="151">
        <f>+IF(AND(I$284&gt;=Assumptions!$H$22,I$284&lt;Assumptions!$H$24),'S&amp;U'!$J11/ROUNDUP(Assumptions!$H$23/12,0),IF(AND(I$284&gt;=Assumptions!$H$24,I$284&lt;Assumptions!$H$26),'S&amp;U'!$J43/ROUNDUP(Assumptions!$H$25/12,0),0))</f>
        <v>0</v>
      </c>
      <c r="J289" s="151">
        <f>+IF(AND(J$284&gt;=Assumptions!$H$22,J$284&lt;Assumptions!$H$24),'S&amp;U'!$J11/ROUNDUP(Assumptions!$H$23/12,0),IF(AND(J$284&gt;=Assumptions!$H$24,J$284&lt;Assumptions!$H$26),'S&amp;U'!$J43/ROUNDUP(Assumptions!$H$25/12,0),0))</f>
        <v>0</v>
      </c>
      <c r="K289" s="151">
        <f>+IF(AND(K$284&gt;=Assumptions!$H$22,K$284&lt;Assumptions!$H$24),'S&amp;U'!$J11/ROUNDUP(Assumptions!$H$23/12,0),IF(AND(K$284&gt;=Assumptions!$H$24,K$284&lt;Assumptions!$H$26),'S&amp;U'!$J43/ROUNDUP(Assumptions!$H$25/12,0),0))</f>
        <v>0</v>
      </c>
      <c r="L289" s="151">
        <f>+IF(AND(L$284&gt;=Assumptions!$H$22,L$284&lt;Assumptions!$H$24),'S&amp;U'!$J11/ROUNDUP(Assumptions!$H$23/12,0),IF(AND(L$284&gt;=Assumptions!$H$24,L$284&lt;Assumptions!$H$26),'S&amp;U'!$J43/ROUNDUP(Assumptions!$H$25/12,0),0))</f>
        <v>0</v>
      </c>
      <c r="M289" s="151">
        <f>+IF(AND(M$284&gt;=Assumptions!$H$22,M$284&lt;Assumptions!$H$24),'S&amp;U'!$J11/ROUNDUP(Assumptions!$H$23/12,0),IF(AND(M$284&gt;=Assumptions!$H$24,M$284&lt;Assumptions!$H$26),'S&amp;U'!$J43/ROUNDUP(Assumptions!$H$25/12,0),0))</f>
        <v>0</v>
      </c>
      <c r="N289" s="151">
        <f>+IF(AND(N$284&gt;=Assumptions!$H$22,N$284&lt;Assumptions!$H$24),'S&amp;U'!$J11/ROUNDUP(Assumptions!$H$23/12,0),IF(AND(N$284&gt;=Assumptions!$H$24,N$284&lt;Assumptions!$H$26),'S&amp;U'!$J43/ROUNDUP(Assumptions!$H$25/12,0),0))</f>
        <v>0</v>
      </c>
      <c r="O289" s="151">
        <f>+IF(AND(O$284&gt;=Assumptions!$H$22,O$284&lt;Assumptions!$H$24),'S&amp;U'!$J11/ROUNDUP(Assumptions!$H$23/12,0),IF(AND(O$284&gt;=Assumptions!$H$24,O$284&lt;Assumptions!$H$26),'S&amp;U'!$J43/ROUNDUP(Assumptions!$H$25/12,0),0))</f>
        <v>0</v>
      </c>
      <c r="P289" s="151">
        <f>+IF(AND(P$284&gt;=Assumptions!$H$22,P$284&lt;Assumptions!$H$24),'S&amp;U'!$J11/ROUNDUP(Assumptions!$H$23/12,0),IF(AND(P$284&gt;=Assumptions!$H$24,P$284&lt;Assumptions!$H$26),'S&amp;U'!$J43/ROUNDUP(Assumptions!$H$25/12,0),0))</f>
        <v>0</v>
      </c>
      <c r="Q289" s="151">
        <f>+IF(AND(Q$284&gt;=Assumptions!$H$22,Q$284&lt;Assumptions!$H$24),'S&amp;U'!$J11/ROUNDUP(Assumptions!$H$23/12,0),IF(AND(Q$284&gt;=Assumptions!$H$24,Q$284&lt;Assumptions!$H$26),'S&amp;U'!$J43/ROUNDUP(Assumptions!$H$25/12,0),0))</f>
        <v>0</v>
      </c>
      <c r="R289" s="151">
        <f>+IF(AND(R$284&gt;=Assumptions!$H$22,R$284&lt;Assumptions!$H$24),'S&amp;U'!$J11/ROUNDUP(Assumptions!$H$23/12,0),IF(AND(R$284&gt;=Assumptions!$H$24,R$284&lt;Assumptions!$H$26),'S&amp;U'!$J43/ROUNDUP(Assumptions!$H$25/12,0),0))</f>
        <v>0</v>
      </c>
      <c r="S289" s="151">
        <f>+IF(AND(S$284&gt;=Assumptions!$H$22,S$284&lt;Assumptions!$H$24),'S&amp;U'!$J11/ROUNDUP(Assumptions!$H$23/12,0),IF(AND(S$284&gt;=Assumptions!$H$24,S$284&lt;Assumptions!$H$26),'S&amp;U'!$J43/ROUNDUP(Assumptions!$H$25/12,0),0))</f>
        <v>0</v>
      </c>
      <c r="T289" s="151">
        <f>+IF(AND(T$284&gt;=Assumptions!$H$22,T$284&lt;Assumptions!$H$24),'S&amp;U'!$J11/ROUNDUP(Assumptions!$H$23/12,0),IF(AND(T$284&gt;=Assumptions!$H$24,T$284&lt;Assumptions!$H$26),'S&amp;U'!$J43/ROUNDUP(Assumptions!$H$25/12,0),0))</f>
        <v>0</v>
      </c>
      <c r="U289" s="151">
        <f>+IF(AND(U$284&gt;=Assumptions!$H$22,U$284&lt;Assumptions!$H$24),'S&amp;U'!$J11/ROUNDUP(Assumptions!$H$23/12,0),IF(AND(U$284&gt;=Assumptions!$H$24,U$284&lt;Assumptions!$H$26),'S&amp;U'!$J43/ROUNDUP(Assumptions!$H$25/12,0),0))</f>
        <v>0</v>
      </c>
      <c r="V289" s="151">
        <f>+IF(AND(V$284&gt;=Assumptions!$H$22,V$284&lt;Assumptions!$H$24),'S&amp;U'!$J11/ROUNDUP(Assumptions!$H$23/12,0),IF(AND(V$284&gt;=Assumptions!$H$24,V$284&lt;Assumptions!$H$26),'S&amp;U'!$J43/ROUNDUP(Assumptions!$H$25/12,0),0))</f>
        <v>0</v>
      </c>
      <c r="W289" s="151">
        <f>+IF(AND(W$284&gt;=Assumptions!$H$22,W$284&lt;Assumptions!$H$24),'S&amp;U'!$J11/ROUNDUP(Assumptions!$H$23/12,0),IF(AND(W$284&gt;=Assumptions!$H$24,W$284&lt;Assumptions!$H$26),'S&amp;U'!$J43/ROUNDUP(Assumptions!$H$25/12,0),0))</f>
        <v>0</v>
      </c>
      <c r="X289" s="151">
        <f>+IF(AND(X$284&gt;=Assumptions!$H$22,X$284&lt;Assumptions!$H$24),'S&amp;U'!$J11/ROUNDUP(Assumptions!$H$23/12,0),IF(AND(X$284&gt;=Assumptions!$H$24,X$284&lt;Assumptions!$H$26),'S&amp;U'!$J43/ROUNDUP(Assumptions!$H$25/12,0),0))</f>
        <v>0</v>
      </c>
      <c r="Y289" s="151">
        <f>+IF(AND(Y$284&gt;=Assumptions!$H$22,Y$284&lt;Assumptions!$H$24),'S&amp;U'!$J11/ROUNDUP(Assumptions!$H$23/12,0),IF(AND(Y$284&gt;=Assumptions!$H$24,Y$284&lt;Assumptions!$H$26),'S&amp;U'!$J43/ROUNDUP(Assumptions!$H$25/12,0),0))</f>
        <v>0</v>
      </c>
      <c r="Z289" s="151">
        <f>+IF(AND(Z$284&gt;=Assumptions!$H$22,Z$284&lt;Assumptions!$H$24),'S&amp;U'!$J11/ROUNDUP(Assumptions!$H$23/12,0),IF(AND(Z$284&gt;=Assumptions!$H$24,Z$284&lt;Assumptions!$H$26),'S&amp;U'!$J43/ROUNDUP(Assumptions!$H$25/12,0),0))</f>
        <v>0</v>
      </c>
    </row>
    <row r="290" spans="2:26" x14ac:dyDescent="0.35">
      <c r="B290" s="33" t="s">
        <v>83</v>
      </c>
      <c r="D290" s="48">
        <f t="shared" ca="1" si="115"/>
        <v>791069.26670236117</v>
      </c>
      <c r="E290" s="48"/>
      <c r="F290" s="151">
        <f>+IF(AND(F$284&gt;=Assumptions!$H$22,F$284&lt;Assumptions!$H$24),'S&amp;U'!$J12/ROUNDUP(Assumptions!$H$23/12,0),IF(AND(F$284&gt;=Assumptions!$H$24,F$284&lt;Assumptions!$H$26),'S&amp;U'!$J44/ROUNDUP(Assumptions!$H$25/12,0),0))</f>
        <v>0</v>
      </c>
      <c r="G290" s="151">
        <f ca="1">+IF(AND(G$284&gt;=Assumptions!$H$22,G$284&lt;Assumptions!$H$24),'S&amp;U'!$J12/ROUNDUP(Assumptions!$H$23/12,0),IF(AND(G$284&gt;=Assumptions!$H$24,G$284&lt;Assumptions!$H$26),'S&amp;U'!$J44/ROUNDUP(Assumptions!$H$25/12,0),0))</f>
        <v>395534.63335118059</v>
      </c>
      <c r="H290" s="151">
        <f ca="1">+IF(AND(H$284&gt;=Assumptions!$H$22,H$284&lt;Assumptions!$H$24),'S&amp;U'!$J12/ROUNDUP(Assumptions!$H$23/12,0),IF(AND(H$284&gt;=Assumptions!$H$24,H$284&lt;Assumptions!$H$26),'S&amp;U'!$J44/ROUNDUP(Assumptions!$H$25/12,0),0))</f>
        <v>395534.63335118059</v>
      </c>
      <c r="I290" s="151">
        <f>+IF(AND(I$284&gt;=Assumptions!$H$22,I$284&lt;Assumptions!$H$24),'S&amp;U'!$J12/ROUNDUP(Assumptions!$H$23/12,0),IF(AND(I$284&gt;=Assumptions!$H$24,I$284&lt;Assumptions!$H$26),'S&amp;U'!$J44/ROUNDUP(Assumptions!$H$25/12,0),0))</f>
        <v>0</v>
      </c>
      <c r="J290" s="151">
        <f>+IF(AND(J$284&gt;=Assumptions!$H$22,J$284&lt;Assumptions!$H$24),'S&amp;U'!$J12/ROUNDUP(Assumptions!$H$23/12,0),IF(AND(J$284&gt;=Assumptions!$H$24,J$284&lt;Assumptions!$H$26),'S&amp;U'!$J44/ROUNDUP(Assumptions!$H$25/12,0),0))</f>
        <v>0</v>
      </c>
      <c r="K290" s="151">
        <f>+IF(AND(K$284&gt;=Assumptions!$H$22,K$284&lt;Assumptions!$H$24),'S&amp;U'!$J12/ROUNDUP(Assumptions!$H$23/12,0),IF(AND(K$284&gt;=Assumptions!$H$24,K$284&lt;Assumptions!$H$26),'S&amp;U'!$J44/ROUNDUP(Assumptions!$H$25/12,0),0))</f>
        <v>0</v>
      </c>
      <c r="L290" s="151">
        <f>+IF(AND(L$284&gt;=Assumptions!$H$22,L$284&lt;Assumptions!$H$24),'S&amp;U'!$J12/ROUNDUP(Assumptions!$H$23/12,0),IF(AND(L$284&gt;=Assumptions!$H$24,L$284&lt;Assumptions!$H$26),'S&amp;U'!$J44/ROUNDUP(Assumptions!$H$25/12,0),0))</f>
        <v>0</v>
      </c>
      <c r="M290" s="151">
        <f>+IF(AND(M$284&gt;=Assumptions!$H$22,M$284&lt;Assumptions!$H$24),'S&amp;U'!$J12/ROUNDUP(Assumptions!$H$23/12,0),IF(AND(M$284&gt;=Assumptions!$H$24,M$284&lt;Assumptions!$H$26),'S&amp;U'!$J44/ROUNDUP(Assumptions!$H$25/12,0),0))</f>
        <v>0</v>
      </c>
      <c r="N290" s="151">
        <f>+IF(AND(N$284&gt;=Assumptions!$H$22,N$284&lt;Assumptions!$H$24),'S&amp;U'!$J12/ROUNDUP(Assumptions!$H$23/12,0),IF(AND(N$284&gt;=Assumptions!$H$24,N$284&lt;Assumptions!$H$26),'S&amp;U'!$J44/ROUNDUP(Assumptions!$H$25/12,0),0))</f>
        <v>0</v>
      </c>
      <c r="O290" s="151">
        <f>+IF(AND(O$284&gt;=Assumptions!$H$22,O$284&lt;Assumptions!$H$24),'S&amp;U'!$J12/ROUNDUP(Assumptions!$H$23/12,0),IF(AND(O$284&gt;=Assumptions!$H$24,O$284&lt;Assumptions!$H$26),'S&amp;U'!$J44/ROUNDUP(Assumptions!$H$25/12,0),0))</f>
        <v>0</v>
      </c>
      <c r="P290" s="151">
        <f>+IF(AND(P$284&gt;=Assumptions!$H$22,P$284&lt;Assumptions!$H$24),'S&amp;U'!$J12/ROUNDUP(Assumptions!$H$23/12,0),IF(AND(P$284&gt;=Assumptions!$H$24,P$284&lt;Assumptions!$H$26),'S&amp;U'!$J44/ROUNDUP(Assumptions!$H$25/12,0),0))</f>
        <v>0</v>
      </c>
      <c r="Q290" s="151">
        <f>+IF(AND(Q$284&gt;=Assumptions!$H$22,Q$284&lt;Assumptions!$H$24),'S&amp;U'!$J12/ROUNDUP(Assumptions!$H$23/12,0),IF(AND(Q$284&gt;=Assumptions!$H$24,Q$284&lt;Assumptions!$H$26),'S&amp;U'!$J44/ROUNDUP(Assumptions!$H$25/12,0),0))</f>
        <v>0</v>
      </c>
      <c r="R290" s="151">
        <f>+IF(AND(R$284&gt;=Assumptions!$H$22,R$284&lt;Assumptions!$H$24),'S&amp;U'!$J12/ROUNDUP(Assumptions!$H$23/12,0),IF(AND(R$284&gt;=Assumptions!$H$24,R$284&lt;Assumptions!$H$26),'S&amp;U'!$J44/ROUNDUP(Assumptions!$H$25/12,0),0))</f>
        <v>0</v>
      </c>
      <c r="S290" s="151">
        <f>+IF(AND(S$284&gt;=Assumptions!$H$22,S$284&lt;Assumptions!$H$24),'S&amp;U'!$J12/ROUNDUP(Assumptions!$H$23/12,0),IF(AND(S$284&gt;=Assumptions!$H$24,S$284&lt;Assumptions!$H$26),'S&amp;U'!$J44/ROUNDUP(Assumptions!$H$25/12,0),0))</f>
        <v>0</v>
      </c>
      <c r="T290" s="151">
        <f>+IF(AND(T$284&gt;=Assumptions!$H$22,T$284&lt;Assumptions!$H$24),'S&amp;U'!$J12/ROUNDUP(Assumptions!$H$23/12,0),IF(AND(T$284&gt;=Assumptions!$H$24,T$284&lt;Assumptions!$H$26),'S&amp;U'!$J44/ROUNDUP(Assumptions!$H$25/12,0),0))</f>
        <v>0</v>
      </c>
      <c r="U290" s="151">
        <f>+IF(AND(U$284&gt;=Assumptions!$H$22,U$284&lt;Assumptions!$H$24),'S&amp;U'!$J12/ROUNDUP(Assumptions!$H$23/12,0),IF(AND(U$284&gt;=Assumptions!$H$24,U$284&lt;Assumptions!$H$26),'S&amp;U'!$J44/ROUNDUP(Assumptions!$H$25/12,0),0))</f>
        <v>0</v>
      </c>
      <c r="V290" s="151">
        <f>+IF(AND(V$284&gt;=Assumptions!$H$22,V$284&lt;Assumptions!$H$24),'S&amp;U'!$J12/ROUNDUP(Assumptions!$H$23/12,0),IF(AND(V$284&gt;=Assumptions!$H$24,V$284&lt;Assumptions!$H$26),'S&amp;U'!$J44/ROUNDUP(Assumptions!$H$25/12,0),0))</f>
        <v>0</v>
      </c>
      <c r="W290" s="151">
        <f>+IF(AND(W$284&gt;=Assumptions!$H$22,W$284&lt;Assumptions!$H$24),'S&amp;U'!$J12/ROUNDUP(Assumptions!$H$23/12,0),IF(AND(W$284&gt;=Assumptions!$H$24,W$284&lt;Assumptions!$H$26),'S&amp;U'!$J44/ROUNDUP(Assumptions!$H$25/12,0),0))</f>
        <v>0</v>
      </c>
      <c r="X290" s="151">
        <f>+IF(AND(X$284&gt;=Assumptions!$H$22,X$284&lt;Assumptions!$H$24),'S&amp;U'!$J12/ROUNDUP(Assumptions!$H$23/12,0),IF(AND(X$284&gt;=Assumptions!$H$24,X$284&lt;Assumptions!$H$26),'S&amp;U'!$J44/ROUNDUP(Assumptions!$H$25/12,0),0))</f>
        <v>0</v>
      </c>
      <c r="Y290" s="151">
        <f>+IF(AND(Y$284&gt;=Assumptions!$H$22,Y$284&lt;Assumptions!$H$24),'S&amp;U'!$J12/ROUNDUP(Assumptions!$H$23/12,0),IF(AND(Y$284&gt;=Assumptions!$H$24,Y$284&lt;Assumptions!$H$26),'S&amp;U'!$J44/ROUNDUP(Assumptions!$H$25/12,0),0))</f>
        <v>0</v>
      </c>
      <c r="Z290" s="151">
        <f>+IF(AND(Z$284&gt;=Assumptions!$H$22,Z$284&lt;Assumptions!$H$24),'S&amp;U'!$J12/ROUNDUP(Assumptions!$H$23/12,0),IF(AND(Z$284&gt;=Assumptions!$H$24,Z$284&lt;Assumptions!$H$26),'S&amp;U'!$J44/ROUNDUP(Assumptions!$H$25/12,0),0))</f>
        <v>0</v>
      </c>
    </row>
    <row r="291" spans="2:26" x14ac:dyDescent="0.35">
      <c r="B291" s="33" t="s">
        <v>60</v>
      </c>
      <c r="D291" s="48">
        <f t="shared" ca="1" si="115"/>
        <v>11196868.616116071</v>
      </c>
      <c r="E291" s="48"/>
      <c r="F291" s="151">
        <f ca="1">+IF(AND(F$284&gt;=Assumptions!$H$22,F$284&lt;Assumptions!$H$24),'S&amp;U'!$J13/ROUNDUP(Assumptions!$H$23/12,0),IF(AND(F$284&gt;=Assumptions!$H$24,F$284&lt;Assumptions!$H$28),'S&amp;U'!$J45/ROUNDUP((Assumptions!$H$25+Assumptions!$H$27)/12,0),0))</f>
        <v>0</v>
      </c>
      <c r="G291" s="151">
        <f ca="1">+IF(AND(G$284&gt;=Assumptions!$H$22,G$284&lt;Assumptions!$H$24),'S&amp;U'!$J13/ROUNDUP(Assumptions!$H$23/12,0),IF(AND(G$284&gt;=Assumptions!$H$24,G$284&lt;Assumptions!$H$28),'S&amp;U'!$J45/ROUNDUP((Assumptions!$H$25+Assumptions!$H$27)/12,0),0))</f>
        <v>2799217.1540290178</v>
      </c>
      <c r="H291" s="151">
        <f ca="1">+IF(AND(H$284&gt;=Assumptions!$H$22,H$284&lt;Assumptions!$H$24),'S&amp;U'!$J13/ROUNDUP(Assumptions!$H$23/12,0),IF(AND(H$284&gt;=Assumptions!$H$24,H$284&lt;Assumptions!$H$28),'S&amp;U'!$J45/ROUNDUP((Assumptions!$H$25+Assumptions!$H$27)/12,0),0))</f>
        <v>2799217.1540290178</v>
      </c>
      <c r="I291" s="151">
        <f ca="1">+IF(AND(I$284&gt;=Assumptions!$H$22,I$284&lt;Assumptions!$H$24),'S&amp;U'!$J13/ROUNDUP(Assumptions!$H$23/12,0),IF(AND(I$284&gt;=Assumptions!$H$24,I$284&lt;Assumptions!$H$28),'S&amp;U'!$J45/ROUNDUP((Assumptions!$H$25+Assumptions!$H$27)/12,0),0))</f>
        <v>2799217.1540290178</v>
      </c>
      <c r="J291" s="151">
        <f ca="1">+IF(AND(J$284&gt;=Assumptions!$H$22,J$284&lt;Assumptions!$H$24),'S&amp;U'!$J13/ROUNDUP(Assumptions!$H$23/12,0),IF(AND(J$284&gt;=Assumptions!$H$24,J$284&lt;Assumptions!$H$28),'S&amp;U'!$J45/ROUNDUP((Assumptions!$H$25+Assumptions!$H$27)/12,0),0))</f>
        <v>2799217.1540290178</v>
      </c>
      <c r="K291" s="151">
        <f>+IF(AND(K$284&gt;=Assumptions!$H$22,K$284&lt;Assumptions!$H$24),'S&amp;U'!$J13/ROUNDUP(Assumptions!$H$23/12,0),IF(AND(K$284&gt;=Assumptions!$H$24,K$284&lt;Assumptions!$H$28),'S&amp;U'!$J45/ROUNDUP((Assumptions!$H$25+Assumptions!$H$27)/12,0),0))</f>
        <v>0</v>
      </c>
      <c r="L291" s="151">
        <f>+IF(AND(L$284&gt;=Assumptions!$H$22,L$284&lt;Assumptions!$H$24),'S&amp;U'!$J13/ROUNDUP(Assumptions!$H$23/12,0),IF(AND(L$284&gt;=Assumptions!$H$24,L$284&lt;Assumptions!$H$28),'S&amp;U'!$J45/ROUNDUP((Assumptions!$H$25+Assumptions!$H$27)/12,0),0))</f>
        <v>0</v>
      </c>
      <c r="M291" s="151">
        <f>+IF(AND(M$284&gt;=Assumptions!$H$22,M$284&lt;Assumptions!$H$24),'S&amp;U'!$J13/ROUNDUP(Assumptions!$H$23/12,0),IF(AND(M$284&gt;=Assumptions!$H$24,M$284&lt;Assumptions!$H$28),'S&amp;U'!$J45/ROUNDUP((Assumptions!$H$25+Assumptions!$H$27)/12,0),0))</f>
        <v>0</v>
      </c>
      <c r="N291" s="151">
        <f>+IF(AND(N$284&gt;=Assumptions!$H$22,N$284&lt;Assumptions!$H$24),'S&amp;U'!$J13/ROUNDUP(Assumptions!$H$23/12,0),IF(AND(N$284&gt;=Assumptions!$H$24,N$284&lt;Assumptions!$H$28),'S&amp;U'!$J45/ROUNDUP((Assumptions!$H$25+Assumptions!$H$27)/12,0),0))</f>
        <v>0</v>
      </c>
      <c r="O291" s="151">
        <f>+IF(AND(O$284&gt;=Assumptions!$H$22,O$284&lt;Assumptions!$H$24),'S&amp;U'!$J13/ROUNDUP(Assumptions!$H$23/12,0),IF(AND(O$284&gt;=Assumptions!$H$24,O$284&lt;Assumptions!$H$28),'S&amp;U'!$J45/ROUNDUP((Assumptions!$H$25+Assumptions!$H$27)/12,0),0))</f>
        <v>0</v>
      </c>
      <c r="P291" s="151">
        <f>+IF(AND(P$284&gt;=Assumptions!$H$22,P$284&lt;Assumptions!$H$24),'S&amp;U'!$J13/ROUNDUP(Assumptions!$H$23/12,0),IF(AND(P$284&gt;=Assumptions!$H$24,P$284&lt;Assumptions!$H$28),'S&amp;U'!$J45/ROUNDUP((Assumptions!$H$25+Assumptions!$H$27)/12,0),0))</f>
        <v>0</v>
      </c>
      <c r="Q291" s="151">
        <f>+IF(AND(Q$284&gt;=Assumptions!$H$22,Q$284&lt;Assumptions!$H$24),'S&amp;U'!$J13/ROUNDUP(Assumptions!$H$23/12,0),IF(AND(Q$284&gt;=Assumptions!$H$24,Q$284&lt;Assumptions!$H$28),'S&amp;U'!$J45/ROUNDUP((Assumptions!$H$25+Assumptions!$H$27)/12,0),0))</f>
        <v>0</v>
      </c>
      <c r="R291" s="151">
        <f>+IF(AND(R$284&gt;=Assumptions!$H$22,R$284&lt;Assumptions!$H$24),'S&amp;U'!$J13/ROUNDUP(Assumptions!$H$23/12,0),IF(AND(R$284&gt;=Assumptions!$H$24,R$284&lt;Assumptions!$H$28),'S&amp;U'!$J45/ROUNDUP((Assumptions!$H$25+Assumptions!$H$27)/12,0),0))</f>
        <v>0</v>
      </c>
      <c r="S291" s="151">
        <f>+IF(AND(S$284&gt;=Assumptions!$H$22,S$284&lt;Assumptions!$H$24),'S&amp;U'!$J13/ROUNDUP(Assumptions!$H$23/12,0),IF(AND(S$284&gt;=Assumptions!$H$24,S$284&lt;Assumptions!$H$28),'S&amp;U'!$J45/ROUNDUP((Assumptions!$H$25+Assumptions!$H$27)/12,0),0))</f>
        <v>0</v>
      </c>
      <c r="T291" s="151">
        <f>+IF(AND(T$284&gt;=Assumptions!$H$22,T$284&lt;Assumptions!$H$24),'S&amp;U'!$J13/ROUNDUP(Assumptions!$H$23/12,0),IF(AND(T$284&gt;=Assumptions!$H$24,T$284&lt;Assumptions!$H$28),'S&amp;U'!$J45/ROUNDUP((Assumptions!$H$25+Assumptions!$H$27)/12,0),0))</f>
        <v>0</v>
      </c>
      <c r="U291" s="151">
        <f>+IF(AND(U$284&gt;=Assumptions!$H$22,U$284&lt;Assumptions!$H$24),'S&amp;U'!$J13/ROUNDUP(Assumptions!$H$23/12,0),IF(AND(U$284&gt;=Assumptions!$H$24,U$284&lt;Assumptions!$H$28),'S&amp;U'!$J45/ROUNDUP((Assumptions!$H$25+Assumptions!$H$27)/12,0),0))</f>
        <v>0</v>
      </c>
      <c r="V291" s="151">
        <f>+IF(AND(V$284&gt;=Assumptions!$H$22,V$284&lt;Assumptions!$H$24),'S&amp;U'!$J13/ROUNDUP(Assumptions!$H$23/12,0),IF(AND(V$284&gt;=Assumptions!$H$24,V$284&lt;Assumptions!$H$28),'S&amp;U'!$J45/ROUNDUP((Assumptions!$H$25+Assumptions!$H$27)/12,0),0))</f>
        <v>0</v>
      </c>
      <c r="W291" s="151">
        <f>+IF(AND(W$284&gt;=Assumptions!$H$22,W$284&lt;Assumptions!$H$24),'S&amp;U'!$J13/ROUNDUP(Assumptions!$H$23/12,0),IF(AND(W$284&gt;=Assumptions!$H$24,W$284&lt;Assumptions!$H$28),'S&amp;U'!$J45/ROUNDUP((Assumptions!$H$25+Assumptions!$H$27)/12,0),0))</f>
        <v>0</v>
      </c>
      <c r="X291" s="151">
        <f>+IF(AND(X$284&gt;=Assumptions!$H$22,X$284&lt;Assumptions!$H$24),'S&amp;U'!$J13/ROUNDUP(Assumptions!$H$23/12,0),IF(AND(X$284&gt;=Assumptions!$H$24,X$284&lt;Assumptions!$H$28),'S&amp;U'!$J45/ROUNDUP((Assumptions!$H$25+Assumptions!$H$27)/12,0),0))</f>
        <v>0</v>
      </c>
      <c r="Y291" s="151">
        <f>+IF(AND(Y$284&gt;=Assumptions!$H$22,Y$284&lt;Assumptions!$H$24),'S&amp;U'!$J13/ROUNDUP(Assumptions!$H$23/12,0),IF(AND(Y$284&gt;=Assumptions!$H$24,Y$284&lt;Assumptions!$H$28),'S&amp;U'!$J45/ROUNDUP((Assumptions!$H$25+Assumptions!$H$27)/12,0),0))</f>
        <v>0</v>
      </c>
      <c r="Z291" s="151">
        <f>+IF(AND(Z$284&gt;=Assumptions!$H$22,Z$284&lt;Assumptions!$H$24),'S&amp;U'!$J13/ROUNDUP(Assumptions!$H$23/12,0),IF(AND(Z$284&gt;=Assumptions!$H$24,Z$284&lt;Assumptions!$H$28),'S&amp;U'!$J45/ROUNDUP((Assumptions!$H$25+Assumptions!$H$27)/12,0),0))</f>
        <v>0</v>
      </c>
    </row>
    <row r="292" spans="2:26" x14ac:dyDescent="0.35">
      <c r="B292" s="138" t="s">
        <v>20</v>
      </c>
      <c r="C292" s="138"/>
      <c r="D292" s="139">
        <f ca="1">+SUM(F292:Z292)</f>
        <v>393547409.48665178</v>
      </c>
      <c r="E292" s="139"/>
      <c r="F292" s="139">
        <f ca="1">+SUM(F285:F291)</f>
        <v>52170014.936448134</v>
      </c>
      <c r="G292" s="139">
        <f t="shared" ref="G292:Z292" ca="1" si="116">+SUM(G285:G291)</f>
        <v>167889480.12107283</v>
      </c>
      <c r="H292" s="139">
        <f t="shared" ca="1" si="116"/>
        <v>167889480.12107283</v>
      </c>
      <c r="I292" s="139">
        <f t="shared" ca="1" si="116"/>
        <v>2799217.1540290178</v>
      </c>
      <c r="J292" s="139">
        <f t="shared" ca="1" si="116"/>
        <v>2799217.1540290178</v>
      </c>
      <c r="K292" s="139">
        <f t="shared" si="116"/>
        <v>0</v>
      </c>
      <c r="L292" s="139">
        <f t="shared" si="116"/>
        <v>0</v>
      </c>
      <c r="M292" s="139">
        <f t="shared" si="116"/>
        <v>0</v>
      </c>
      <c r="N292" s="139">
        <f t="shared" si="116"/>
        <v>0</v>
      </c>
      <c r="O292" s="139">
        <f t="shared" si="116"/>
        <v>0</v>
      </c>
      <c r="P292" s="139">
        <f t="shared" si="116"/>
        <v>0</v>
      </c>
      <c r="Q292" s="139">
        <f t="shared" si="116"/>
        <v>0</v>
      </c>
      <c r="R292" s="139">
        <f t="shared" si="116"/>
        <v>0</v>
      </c>
      <c r="S292" s="139">
        <f t="shared" si="116"/>
        <v>0</v>
      </c>
      <c r="T292" s="139">
        <f t="shared" si="116"/>
        <v>0</v>
      </c>
      <c r="U292" s="139">
        <f t="shared" si="116"/>
        <v>0</v>
      </c>
      <c r="V292" s="139">
        <f t="shared" si="116"/>
        <v>0</v>
      </c>
      <c r="W292" s="139">
        <f t="shared" si="116"/>
        <v>0</v>
      </c>
      <c r="X292" s="139">
        <f t="shared" si="116"/>
        <v>0</v>
      </c>
      <c r="Y292" s="139">
        <f t="shared" si="116"/>
        <v>0</v>
      </c>
      <c r="Z292" s="139">
        <f t="shared" si="116"/>
        <v>0</v>
      </c>
    </row>
    <row r="294" spans="2:26" x14ac:dyDescent="0.35">
      <c r="B294" s="148" t="s">
        <v>353</v>
      </c>
      <c r="F294" s="150">
        <f>+Assumptions!$H$22</f>
        <v>45657</v>
      </c>
      <c r="G294" s="150">
        <f>+EOMONTH(F294,12)</f>
        <v>46022</v>
      </c>
      <c r="H294" s="150">
        <f t="shared" ref="H294:Z294" si="117">+EOMONTH(G294,12)</f>
        <v>46387</v>
      </c>
      <c r="I294" s="150">
        <f t="shared" si="117"/>
        <v>46752</v>
      </c>
      <c r="J294" s="150">
        <f t="shared" si="117"/>
        <v>47118</v>
      </c>
      <c r="K294" s="150">
        <f t="shared" si="117"/>
        <v>47483</v>
      </c>
      <c r="L294" s="150">
        <f t="shared" si="117"/>
        <v>47848</v>
      </c>
      <c r="M294" s="150">
        <f t="shared" si="117"/>
        <v>48213</v>
      </c>
      <c r="N294" s="150">
        <f t="shared" si="117"/>
        <v>48579</v>
      </c>
      <c r="O294" s="150">
        <f t="shared" si="117"/>
        <v>48944</v>
      </c>
      <c r="P294" s="150">
        <f t="shared" si="117"/>
        <v>49309</v>
      </c>
      <c r="Q294" s="150">
        <f t="shared" si="117"/>
        <v>49674</v>
      </c>
      <c r="R294" s="150">
        <f t="shared" si="117"/>
        <v>50040</v>
      </c>
      <c r="S294" s="150">
        <f t="shared" si="117"/>
        <v>50405</v>
      </c>
      <c r="T294" s="150">
        <f t="shared" si="117"/>
        <v>50770</v>
      </c>
      <c r="U294" s="150">
        <f t="shared" si="117"/>
        <v>51135</v>
      </c>
      <c r="V294" s="150">
        <f t="shared" si="117"/>
        <v>51501</v>
      </c>
      <c r="W294" s="150">
        <f t="shared" si="117"/>
        <v>51866</v>
      </c>
      <c r="X294" s="150">
        <f t="shared" si="117"/>
        <v>52231</v>
      </c>
      <c r="Y294" s="150">
        <f t="shared" si="117"/>
        <v>52596</v>
      </c>
      <c r="Z294" s="150">
        <f t="shared" si="117"/>
        <v>52962</v>
      </c>
    </row>
    <row r="295" spans="2:26" x14ac:dyDescent="0.35">
      <c r="B295" s="33" t="s">
        <v>29</v>
      </c>
      <c r="D295" s="48">
        <f t="shared" ref="D295:D302" ca="1" si="118">+SUM(F295:Z295)</f>
        <v>76981700.404558539</v>
      </c>
      <c r="E295" s="48"/>
      <c r="F295" s="34">
        <f ca="1">+MIN('S&amp;U'!$J23-SUM('Phase III Pro Forma'!$E295:E295),'Phase III Pro Forma'!F$292)</f>
        <v>52170014.936448134</v>
      </c>
      <c r="G295" s="34">
        <f ca="1">+MIN('S&amp;U'!$J23-SUM('Phase III Pro Forma'!$E295:F295),'Phase III Pro Forma'!G$292)</f>
        <v>24811685.468110405</v>
      </c>
      <c r="H295" s="34">
        <f ca="1">+MIN('S&amp;U'!$J23-SUM('Phase III Pro Forma'!$E295:G295),'Phase III Pro Forma'!H$292)</f>
        <v>0</v>
      </c>
      <c r="I295" s="34">
        <f ca="1">+MIN('S&amp;U'!$J23-SUM('Phase III Pro Forma'!$E295:H295),'Phase III Pro Forma'!I$292)</f>
        <v>0</v>
      </c>
      <c r="J295" s="34">
        <f ca="1">+MIN('S&amp;U'!$J23-SUM('Phase III Pro Forma'!$E295:I295),'Phase III Pro Forma'!J$292)</f>
        <v>0</v>
      </c>
      <c r="K295" s="34">
        <f ca="1">+MIN('S&amp;U'!$J23-SUM('Phase III Pro Forma'!$E295:J295),'Phase III Pro Forma'!K$292)</f>
        <v>0</v>
      </c>
      <c r="L295" s="34">
        <f ca="1">+MIN('S&amp;U'!$J23-SUM('Phase III Pro Forma'!$E295:K295),'Phase III Pro Forma'!L$292)</f>
        <v>0</v>
      </c>
      <c r="M295" s="34">
        <f ca="1">+MIN('S&amp;U'!$J23-SUM('Phase III Pro Forma'!$E295:L295),'Phase III Pro Forma'!M$292)</f>
        <v>0</v>
      </c>
      <c r="N295" s="34">
        <f ca="1">+MIN('S&amp;U'!$J23-SUM('Phase III Pro Forma'!$E295:M295),'Phase III Pro Forma'!N$292)</f>
        <v>0</v>
      </c>
      <c r="O295" s="34">
        <f ca="1">+MIN('S&amp;U'!$J23-SUM('Phase III Pro Forma'!$E295:N295),'Phase III Pro Forma'!O$292)</f>
        <v>0</v>
      </c>
      <c r="P295" s="34">
        <f ca="1">+MIN('S&amp;U'!$J23-SUM('Phase III Pro Forma'!$E295:O295),'Phase III Pro Forma'!P$292)</f>
        <v>0</v>
      </c>
      <c r="Q295" s="34">
        <f ca="1">+MIN('S&amp;U'!$J23-SUM('Phase III Pro Forma'!$E295:P295),'Phase III Pro Forma'!Q$292)</f>
        <v>0</v>
      </c>
      <c r="R295" s="34">
        <f ca="1">+MIN('S&amp;U'!$J23-SUM('Phase III Pro Forma'!$E295:Q295),'Phase III Pro Forma'!R$292)</f>
        <v>0</v>
      </c>
      <c r="S295" s="34">
        <f ca="1">+MIN('S&amp;U'!$J23-SUM('Phase III Pro Forma'!$E295:R295),'Phase III Pro Forma'!S$292)</f>
        <v>0</v>
      </c>
      <c r="T295" s="34">
        <f ca="1">+MIN('S&amp;U'!$J23-SUM('Phase III Pro Forma'!$E295:S295),'Phase III Pro Forma'!T$292)</f>
        <v>0</v>
      </c>
      <c r="U295" s="34">
        <f ca="1">+MIN('S&amp;U'!$J23-SUM('Phase III Pro Forma'!$E295:T295),'Phase III Pro Forma'!U$292)</f>
        <v>0</v>
      </c>
      <c r="V295" s="34">
        <f ca="1">+MIN('S&amp;U'!$J23-SUM('Phase III Pro Forma'!$E295:U295),'Phase III Pro Forma'!V$292)</f>
        <v>0</v>
      </c>
      <c r="W295" s="34">
        <f ca="1">+MIN('S&amp;U'!$J23-SUM('Phase III Pro Forma'!$E295:V295),'Phase III Pro Forma'!W$292)</f>
        <v>0</v>
      </c>
      <c r="X295" s="34">
        <f ca="1">+MIN('S&amp;U'!$J23-SUM('Phase III Pro Forma'!$E295:W295),'Phase III Pro Forma'!X$292)</f>
        <v>0</v>
      </c>
      <c r="Y295" s="34">
        <f ca="1">+MIN('S&amp;U'!$J23-SUM('Phase III Pro Forma'!$E295:X295),'Phase III Pro Forma'!Y$292)</f>
        <v>0</v>
      </c>
      <c r="Z295" s="34">
        <f ca="1">+MIN('S&amp;U'!$J23-SUM('Phase III Pro Forma'!$E295:Y295),'Phase III Pro Forma'!Z$292)</f>
        <v>0</v>
      </c>
    </row>
    <row r="296" spans="2:26" x14ac:dyDescent="0.35">
      <c r="B296" s="33" t="s">
        <v>332</v>
      </c>
      <c r="D296" s="48">
        <f t="shared" ca="1" si="118"/>
        <v>0</v>
      </c>
      <c r="E296" s="48"/>
      <c r="F296" s="151">
        <f ca="1">+MIN('S&amp;U'!$J19-SUM('Phase III Pro Forma'!$E296:E296),'Phase III Pro Forma'!F$292-SUM(F$295:F295))</f>
        <v>0</v>
      </c>
      <c r="G296" s="151">
        <f ca="1">+MIN('S&amp;U'!$J19-SUM('Phase III Pro Forma'!$E296:F296),'Phase III Pro Forma'!G$292-SUM(G$295:G295))</f>
        <v>0</v>
      </c>
      <c r="H296" s="151">
        <f ca="1">+MIN('S&amp;U'!$J19-SUM('Phase III Pro Forma'!$E296:G296),'Phase III Pro Forma'!H$292-SUM(H$295:H295))</f>
        <v>0</v>
      </c>
      <c r="I296" s="151">
        <f ca="1">+MIN('S&amp;U'!$J19-SUM('Phase III Pro Forma'!$E296:H296),'Phase III Pro Forma'!I$292-SUM(I$295:I295))</f>
        <v>0</v>
      </c>
      <c r="J296" s="151">
        <f ca="1">+MIN('S&amp;U'!$J19-SUM('Phase III Pro Forma'!$E296:I296),'Phase III Pro Forma'!J$292-SUM(J$295:J295))</f>
        <v>0</v>
      </c>
      <c r="K296" s="151">
        <f ca="1">+MIN('S&amp;U'!$J19-SUM('Phase III Pro Forma'!$E296:J296),'Phase III Pro Forma'!K$292-SUM(K$295:K295))</f>
        <v>0</v>
      </c>
      <c r="L296" s="151">
        <f ca="1">+MIN('S&amp;U'!$J19-SUM('Phase III Pro Forma'!$E296:K296),'Phase III Pro Forma'!L$292-SUM(L$295:L295))</f>
        <v>0</v>
      </c>
      <c r="M296" s="151">
        <f ca="1">+MIN('S&amp;U'!$J19-SUM('Phase III Pro Forma'!$E296:L296),'Phase III Pro Forma'!M$292-SUM(M$295:M295))</f>
        <v>0</v>
      </c>
      <c r="N296" s="151">
        <f ca="1">+MIN('S&amp;U'!$J19-SUM('Phase III Pro Forma'!$E296:M296),'Phase III Pro Forma'!N$292-SUM(N$295:N295))</f>
        <v>0</v>
      </c>
      <c r="O296" s="151">
        <f ca="1">+MIN('S&amp;U'!$J19-SUM('Phase III Pro Forma'!$E296:N296),'Phase III Pro Forma'!O$292-SUM(O$295:O295))</f>
        <v>0</v>
      </c>
      <c r="P296" s="151">
        <f ca="1">+MIN('S&amp;U'!$J19-SUM('Phase III Pro Forma'!$E296:O296),'Phase III Pro Forma'!P$292-SUM(P$295:P295))</f>
        <v>0</v>
      </c>
      <c r="Q296" s="151">
        <f ca="1">+MIN('S&amp;U'!$J19-SUM('Phase III Pro Forma'!$E296:P296),'Phase III Pro Forma'!Q$292-SUM(Q$295:Q295))</f>
        <v>0</v>
      </c>
      <c r="R296" s="151">
        <f ca="1">+MIN('S&amp;U'!$J19-SUM('Phase III Pro Forma'!$E296:Q296),'Phase III Pro Forma'!R$292-SUM(R$295:R295))</f>
        <v>0</v>
      </c>
      <c r="S296" s="151">
        <f ca="1">+MIN('S&amp;U'!$J19-SUM('Phase III Pro Forma'!$E296:R296),'Phase III Pro Forma'!S$292-SUM(S$295:S295))</f>
        <v>0</v>
      </c>
      <c r="T296" s="151">
        <f ca="1">+MIN('S&amp;U'!$J19-SUM('Phase III Pro Forma'!$E296:S296),'Phase III Pro Forma'!T$292-SUM(T$295:T295))</f>
        <v>0</v>
      </c>
      <c r="U296" s="151">
        <f ca="1">+MIN('S&amp;U'!$J19-SUM('Phase III Pro Forma'!$E296:T296),'Phase III Pro Forma'!U$292-SUM(U$295:U295))</f>
        <v>0</v>
      </c>
      <c r="V296" s="151">
        <f ca="1">+MIN('S&amp;U'!$J19-SUM('Phase III Pro Forma'!$E296:U296),'Phase III Pro Forma'!V$292-SUM(V$295:V295))</f>
        <v>0</v>
      </c>
      <c r="W296" s="151">
        <f ca="1">+MIN('S&amp;U'!$J19-SUM('Phase III Pro Forma'!$E296:V296),'Phase III Pro Forma'!W$292-SUM(W$295:W295))</f>
        <v>0</v>
      </c>
      <c r="X296" s="151">
        <f ca="1">+MIN('S&amp;U'!$J19-SUM('Phase III Pro Forma'!$E296:W296),'Phase III Pro Forma'!X$292-SUM(X$295:X295))</f>
        <v>0</v>
      </c>
      <c r="Y296" s="151">
        <f ca="1">+MIN('S&amp;U'!$J19-SUM('Phase III Pro Forma'!$E296:X296),'Phase III Pro Forma'!Y$292-SUM(Y$295:Y295))</f>
        <v>0</v>
      </c>
      <c r="Z296" s="151">
        <f ca="1">+MIN('S&amp;U'!$J19-SUM('Phase III Pro Forma'!$E296:Y296),'Phase III Pro Forma'!Z$292-SUM(Z$295:Z295))</f>
        <v>0</v>
      </c>
    </row>
    <row r="297" spans="2:26" x14ac:dyDescent="0.35">
      <c r="B297" s="33" t="s">
        <v>99</v>
      </c>
      <c r="D297" s="48">
        <f t="shared" ca="1" si="118"/>
        <v>10625026.803841824</v>
      </c>
      <c r="E297" s="48"/>
      <c r="F297" s="151">
        <f ca="1">+MIN('S&amp;U'!$J20-SUM('Phase III Pro Forma'!$E297:E297),'Phase III Pro Forma'!F$292-SUM(F$295:F296))</f>
        <v>0</v>
      </c>
      <c r="G297" s="151">
        <f ca="1">+MIN('S&amp;U'!$J20-SUM('Phase III Pro Forma'!$E297:F297),'Phase III Pro Forma'!G$292-SUM(G$295:G296))</f>
        <v>10625026.803841824</v>
      </c>
      <c r="H297" s="151">
        <f ca="1">+MIN('S&amp;U'!$J20-SUM('Phase III Pro Forma'!$E297:G297),'Phase III Pro Forma'!H$292-SUM(H$295:H296))</f>
        <v>0</v>
      </c>
      <c r="I297" s="151">
        <f ca="1">+MIN('S&amp;U'!$J20-SUM('Phase III Pro Forma'!$E297:H297),'Phase III Pro Forma'!I$292-SUM(I$295:I296))</f>
        <v>0</v>
      </c>
      <c r="J297" s="151">
        <f ca="1">+MIN('S&amp;U'!$J20-SUM('Phase III Pro Forma'!$E297:I297),'Phase III Pro Forma'!J$292-SUM(J$295:J296))</f>
        <v>0</v>
      </c>
      <c r="K297" s="151">
        <f ca="1">+MIN('S&amp;U'!$J20-SUM('Phase III Pro Forma'!$E297:J297),'Phase III Pro Forma'!K$292-SUM(K$295:K296))</f>
        <v>0</v>
      </c>
      <c r="L297" s="151">
        <f ca="1">+MIN('S&amp;U'!$J20-SUM('Phase III Pro Forma'!$E297:K297),'Phase III Pro Forma'!L$292-SUM(L$295:L296))</f>
        <v>0</v>
      </c>
      <c r="M297" s="151">
        <f ca="1">+MIN('S&amp;U'!$J20-SUM('Phase III Pro Forma'!$E297:L297),'Phase III Pro Forma'!M$292-SUM(M$295:M296))</f>
        <v>0</v>
      </c>
      <c r="N297" s="151">
        <f ca="1">+MIN('S&amp;U'!$J20-SUM('Phase III Pro Forma'!$E297:M297),'Phase III Pro Forma'!N$292-SUM(N$295:N296))</f>
        <v>0</v>
      </c>
      <c r="O297" s="151">
        <f ca="1">+MIN('S&amp;U'!$J20-SUM('Phase III Pro Forma'!$E297:N297),'Phase III Pro Forma'!O$292-SUM(O$295:O296))</f>
        <v>0</v>
      </c>
      <c r="P297" s="151">
        <f ca="1">+MIN('S&amp;U'!$J20-SUM('Phase III Pro Forma'!$E297:O297),'Phase III Pro Forma'!P$292-SUM(P$295:P296))</f>
        <v>0</v>
      </c>
      <c r="Q297" s="151">
        <f ca="1">+MIN('S&amp;U'!$J20-SUM('Phase III Pro Forma'!$E297:P297),'Phase III Pro Forma'!Q$292-SUM(Q$295:Q296))</f>
        <v>0</v>
      </c>
      <c r="R297" s="151">
        <f ca="1">+MIN('S&amp;U'!$J20-SUM('Phase III Pro Forma'!$E297:Q297),'Phase III Pro Forma'!R$292-SUM(R$295:R296))</f>
        <v>0</v>
      </c>
      <c r="S297" s="151">
        <f ca="1">+MIN('S&amp;U'!$J20-SUM('Phase III Pro Forma'!$E297:R297),'Phase III Pro Forma'!S$292-SUM(S$295:S296))</f>
        <v>0</v>
      </c>
      <c r="T297" s="151">
        <f ca="1">+MIN('S&amp;U'!$J20-SUM('Phase III Pro Forma'!$E297:S297),'Phase III Pro Forma'!T$292-SUM(T$295:T296))</f>
        <v>0</v>
      </c>
      <c r="U297" s="151">
        <f ca="1">+MIN('S&amp;U'!$J20-SUM('Phase III Pro Forma'!$E297:T297),'Phase III Pro Forma'!U$292-SUM(U$295:U296))</f>
        <v>0</v>
      </c>
      <c r="V297" s="151">
        <f ca="1">+MIN('S&amp;U'!$J20-SUM('Phase III Pro Forma'!$E297:U297),'Phase III Pro Forma'!V$292-SUM(V$295:V296))</f>
        <v>0</v>
      </c>
      <c r="W297" s="151">
        <f ca="1">+MIN('S&amp;U'!$J20-SUM('Phase III Pro Forma'!$E297:V297),'Phase III Pro Forma'!W$292-SUM(W$295:W296))</f>
        <v>0</v>
      </c>
      <c r="X297" s="151">
        <f ca="1">+MIN('S&amp;U'!$J20-SUM('Phase III Pro Forma'!$E297:W297),'Phase III Pro Forma'!X$292-SUM(X$295:X296))</f>
        <v>0</v>
      </c>
      <c r="Y297" s="151">
        <f ca="1">+MIN('S&amp;U'!$J20-SUM('Phase III Pro Forma'!$E297:X297),'Phase III Pro Forma'!Y$292-SUM(Y$295:Y296))</f>
        <v>0</v>
      </c>
      <c r="Z297" s="151">
        <f ca="1">+MIN('S&amp;U'!$J20-SUM('Phase III Pro Forma'!$E297:Y297),'Phase III Pro Forma'!Z$292-SUM(Z$295:Z296))</f>
        <v>0</v>
      </c>
    </row>
    <row r="298" spans="2:26" x14ac:dyDescent="0.35">
      <c r="B298" s="33" t="s">
        <v>100</v>
      </c>
      <c r="D298" s="48">
        <f t="shared" ca="1" si="118"/>
        <v>5538000</v>
      </c>
      <c r="E298" s="48"/>
      <c r="F298" s="151">
        <f ca="1">+MIN('S&amp;U'!$J21-SUM('Phase III Pro Forma'!$E298:E298),'Phase III Pro Forma'!F$292-SUM(F$295:F297))</f>
        <v>0</v>
      </c>
      <c r="G298" s="151">
        <f ca="1">+MIN('S&amp;U'!$J21-SUM('Phase III Pro Forma'!$E298:F298),'Phase III Pro Forma'!G$292-SUM(G$295:G297))</f>
        <v>5538000</v>
      </c>
      <c r="H298" s="151">
        <f ca="1">+MIN('S&amp;U'!$J21-SUM('Phase III Pro Forma'!$E298:G298),'Phase III Pro Forma'!H$292-SUM(H$295:H297))</f>
        <v>0</v>
      </c>
      <c r="I298" s="151">
        <f ca="1">+MIN('S&amp;U'!$J21-SUM('Phase III Pro Forma'!$E298:H298),'Phase III Pro Forma'!I$292-SUM(I$295:I297))</f>
        <v>0</v>
      </c>
      <c r="J298" s="151">
        <f ca="1">+MIN('S&amp;U'!$J21-SUM('Phase III Pro Forma'!$E298:I298),'Phase III Pro Forma'!J$292-SUM(J$295:J297))</f>
        <v>0</v>
      </c>
      <c r="K298" s="151">
        <f ca="1">+MIN('S&amp;U'!$J21-SUM('Phase III Pro Forma'!$E298:J298),'Phase III Pro Forma'!K$292-SUM(K$295:K297))</f>
        <v>0</v>
      </c>
      <c r="L298" s="151">
        <f ca="1">+MIN('S&amp;U'!$J21-SUM('Phase III Pro Forma'!$E298:K298),'Phase III Pro Forma'!L$292-SUM(L$295:L297))</f>
        <v>0</v>
      </c>
      <c r="M298" s="151">
        <f ca="1">+MIN('S&amp;U'!$J21-SUM('Phase III Pro Forma'!$E298:L298),'Phase III Pro Forma'!M$292-SUM(M$295:M297))</f>
        <v>0</v>
      </c>
      <c r="N298" s="151">
        <f ca="1">+MIN('S&amp;U'!$J21-SUM('Phase III Pro Forma'!$E298:M298),'Phase III Pro Forma'!N$292-SUM(N$295:N297))</f>
        <v>0</v>
      </c>
      <c r="O298" s="151">
        <f ca="1">+MIN('S&amp;U'!$J21-SUM('Phase III Pro Forma'!$E298:N298),'Phase III Pro Forma'!O$292-SUM(O$295:O297))</f>
        <v>0</v>
      </c>
      <c r="P298" s="151">
        <f ca="1">+MIN('S&amp;U'!$J21-SUM('Phase III Pro Forma'!$E298:O298),'Phase III Pro Forma'!P$292-SUM(P$295:P297))</f>
        <v>0</v>
      </c>
      <c r="Q298" s="151">
        <f ca="1">+MIN('S&amp;U'!$J21-SUM('Phase III Pro Forma'!$E298:P298),'Phase III Pro Forma'!Q$292-SUM(Q$295:Q297))</f>
        <v>0</v>
      </c>
      <c r="R298" s="151">
        <f ca="1">+MIN('S&amp;U'!$J21-SUM('Phase III Pro Forma'!$E298:Q298),'Phase III Pro Forma'!R$292-SUM(R$295:R297))</f>
        <v>0</v>
      </c>
      <c r="S298" s="151">
        <f ca="1">+MIN('S&amp;U'!$J21-SUM('Phase III Pro Forma'!$E298:R298),'Phase III Pro Forma'!S$292-SUM(S$295:S297))</f>
        <v>0</v>
      </c>
      <c r="T298" s="151">
        <f ca="1">+MIN('S&amp;U'!$J21-SUM('Phase III Pro Forma'!$E298:S298),'Phase III Pro Forma'!T$292-SUM(T$295:T297))</f>
        <v>0</v>
      </c>
      <c r="U298" s="151">
        <f ca="1">+MIN('S&amp;U'!$J21-SUM('Phase III Pro Forma'!$E298:T298),'Phase III Pro Forma'!U$292-SUM(U$295:U297))</f>
        <v>0</v>
      </c>
      <c r="V298" s="151">
        <f ca="1">+MIN('S&amp;U'!$J21-SUM('Phase III Pro Forma'!$E298:U298),'Phase III Pro Forma'!V$292-SUM(V$295:V297))</f>
        <v>0</v>
      </c>
      <c r="W298" s="151">
        <f ca="1">+MIN('S&amp;U'!$J21-SUM('Phase III Pro Forma'!$E298:V298),'Phase III Pro Forma'!W$292-SUM(W$295:W297))</f>
        <v>0</v>
      </c>
      <c r="X298" s="151">
        <f ca="1">+MIN('S&amp;U'!$J21-SUM('Phase III Pro Forma'!$E298:W298),'Phase III Pro Forma'!X$292-SUM(X$295:X297))</f>
        <v>0</v>
      </c>
      <c r="Y298" s="151">
        <f ca="1">+MIN('S&amp;U'!$J21-SUM('Phase III Pro Forma'!$E298:X298),'Phase III Pro Forma'!Y$292-SUM(Y$295:Y297))</f>
        <v>0</v>
      </c>
      <c r="Z298" s="151">
        <f ca="1">+MIN('S&amp;U'!$J21-SUM('Phase III Pro Forma'!$E298:Y298),'Phase III Pro Forma'!Z$292-SUM(Z$295:Z297))</f>
        <v>0</v>
      </c>
    </row>
    <row r="299" spans="2:26" x14ac:dyDescent="0.35">
      <c r="B299" s="33" t="s">
        <v>620</v>
      </c>
      <c r="D299" s="48">
        <f t="shared" ref="D299" ca="1" si="119">+SUM(F299:Z299)</f>
        <v>0</v>
      </c>
      <c r="E299" s="48"/>
      <c r="F299" s="151">
        <f ca="1">+MIN('S&amp;U'!$J22-SUM('Phase III Pro Forma'!$E299:E299),'Phase III Pro Forma'!F$292-SUM(F$295:F298))</f>
        <v>0</v>
      </c>
      <c r="G299" s="151">
        <f ca="1">+MIN('S&amp;U'!$J22-SUM('Phase III Pro Forma'!$E299:F299),'Phase III Pro Forma'!G$292-SUM(G$295:G298))</f>
        <v>0</v>
      </c>
      <c r="H299" s="151">
        <f ca="1">+MIN('S&amp;U'!$J22-SUM('Phase III Pro Forma'!$E299:G299),'Phase III Pro Forma'!H$292-SUM(H$295:H298))</f>
        <v>0</v>
      </c>
      <c r="I299" s="151">
        <f ca="1">+MIN('S&amp;U'!$J22-SUM('Phase III Pro Forma'!$E299:H299),'Phase III Pro Forma'!I$292-SUM(I$295:I298))</f>
        <v>0</v>
      </c>
      <c r="J299" s="151">
        <f ca="1">+MIN('S&amp;U'!$J22-SUM('Phase III Pro Forma'!$E299:I299),'Phase III Pro Forma'!J$292-SUM(J$295:J298))</f>
        <v>0</v>
      </c>
      <c r="K299" s="151">
        <f ca="1">+MIN('S&amp;U'!$J22-SUM('Phase III Pro Forma'!$E299:J299),'Phase III Pro Forma'!K$292-SUM(K$295:K298))</f>
        <v>0</v>
      </c>
      <c r="L299" s="151">
        <f ca="1">+MIN('S&amp;U'!$J22-SUM('Phase III Pro Forma'!$E299:K299),'Phase III Pro Forma'!L$292-SUM(L$295:L298))</f>
        <v>0</v>
      </c>
      <c r="M299" s="151">
        <f ca="1">+MIN('S&amp;U'!$J22-SUM('Phase III Pro Forma'!$E299:L299),'Phase III Pro Forma'!M$292-SUM(M$295:M298))</f>
        <v>0</v>
      </c>
      <c r="N299" s="151">
        <f ca="1">+MIN('S&amp;U'!$J22-SUM('Phase III Pro Forma'!$E299:M299),'Phase III Pro Forma'!N$292-SUM(N$295:N298))</f>
        <v>0</v>
      </c>
      <c r="O299" s="151">
        <f ca="1">+MIN('S&amp;U'!$J22-SUM('Phase III Pro Forma'!$E299:N299),'Phase III Pro Forma'!O$292-SUM(O$295:O298))</f>
        <v>0</v>
      </c>
      <c r="P299" s="151">
        <f ca="1">+MIN('S&amp;U'!$J22-SUM('Phase III Pro Forma'!$E299:O299),'Phase III Pro Forma'!P$292-SUM(P$295:P298))</f>
        <v>0</v>
      </c>
      <c r="Q299" s="151">
        <f ca="1">+MIN('S&amp;U'!$J22-SUM('Phase III Pro Forma'!$E299:P299),'Phase III Pro Forma'!Q$292-SUM(Q$295:Q298))</f>
        <v>0</v>
      </c>
      <c r="R299" s="151">
        <f ca="1">+MIN('S&amp;U'!$J22-SUM('Phase III Pro Forma'!$E299:Q299),'Phase III Pro Forma'!R$292-SUM(R$295:R298))</f>
        <v>0</v>
      </c>
      <c r="S299" s="151">
        <f ca="1">+MIN('S&amp;U'!$J22-SUM('Phase III Pro Forma'!$E299:R299),'Phase III Pro Forma'!S$292-SUM(S$295:S298))</f>
        <v>0</v>
      </c>
      <c r="T299" s="151">
        <f ca="1">+MIN('S&amp;U'!$J22-SUM('Phase III Pro Forma'!$E299:S299),'Phase III Pro Forma'!T$292-SUM(T$295:T298))</f>
        <v>0</v>
      </c>
      <c r="U299" s="151">
        <f ca="1">+MIN('S&amp;U'!$J22-SUM('Phase III Pro Forma'!$E299:T299),'Phase III Pro Forma'!U$292-SUM(U$295:U298))</f>
        <v>0</v>
      </c>
      <c r="V299" s="151">
        <f ca="1">+MIN('S&amp;U'!$J22-SUM('Phase III Pro Forma'!$E299:U299),'Phase III Pro Forma'!V$292-SUM(V$295:V298))</f>
        <v>0</v>
      </c>
      <c r="W299" s="151">
        <f ca="1">+MIN('S&amp;U'!$J22-SUM('Phase III Pro Forma'!$E299:V299),'Phase III Pro Forma'!W$292-SUM(W$295:W298))</f>
        <v>0</v>
      </c>
      <c r="X299" s="151">
        <f ca="1">+MIN('S&amp;U'!$J22-SUM('Phase III Pro Forma'!$E299:W299),'Phase III Pro Forma'!X$292-SUM(X$295:X298))</f>
        <v>0</v>
      </c>
      <c r="Y299" s="151">
        <f ca="1">+MIN('S&amp;U'!$J22-SUM('Phase III Pro Forma'!$E299:X299),'Phase III Pro Forma'!Y$292-SUM(Y$295:Y298))</f>
        <v>0</v>
      </c>
      <c r="Z299" s="151">
        <f ca="1">+MIN('S&amp;U'!$J22-SUM('Phase III Pro Forma'!$E299:Y299),'Phase III Pro Forma'!Z$292-SUM(Z$295:Z298))</f>
        <v>0</v>
      </c>
    </row>
    <row r="300" spans="2:26" x14ac:dyDescent="0.35">
      <c r="B300" s="33" t="s">
        <v>336</v>
      </c>
      <c r="D300" s="48">
        <f t="shared" ca="1" si="118"/>
        <v>236128445.69199109</v>
      </c>
      <c r="E300" s="48"/>
      <c r="F300" s="151">
        <f ca="1">+MIN('S&amp;U'!$J17-SUM('Phase III Pro Forma'!$E300:E300),'Phase III Pro Forma'!F$292-SUM(F$295:F299))</f>
        <v>0</v>
      </c>
      <c r="G300" s="151">
        <f ca="1">+MIN('S&amp;U'!$J17-SUM('Phase III Pro Forma'!$E300:F300),'Phase III Pro Forma'!G$292-SUM(G$295:G299))</f>
        <v>126914767.8491206</v>
      </c>
      <c r="H300" s="151">
        <f ca="1">+MIN('S&amp;U'!$J17-SUM('Phase III Pro Forma'!$E300:G300),'Phase III Pro Forma'!H$292-SUM(H$295:H299))</f>
        <v>109213677.84287049</v>
      </c>
      <c r="I300" s="151">
        <f ca="1">+MIN('S&amp;U'!$J17-SUM('Phase III Pro Forma'!$E300:H300),'Phase III Pro Forma'!I$292-SUM(I$295:I299))</f>
        <v>0</v>
      </c>
      <c r="J300" s="151">
        <f ca="1">+MIN('S&amp;U'!$J17-SUM('Phase III Pro Forma'!$E300:I300),'Phase III Pro Forma'!J$292-SUM(J$295:J299))</f>
        <v>0</v>
      </c>
      <c r="K300" s="151">
        <f ca="1">+MIN('S&amp;U'!$J17-SUM('Phase III Pro Forma'!$E300:J300),'Phase III Pro Forma'!K$292-SUM(K$295:K299))</f>
        <v>0</v>
      </c>
      <c r="L300" s="151">
        <f ca="1">+MIN('S&amp;U'!$J17-SUM('Phase III Pro Forma'!$E300:K300),'Phase III Pro Forma'!L$292-SUM(L$295:L299))</f>
        <v>0</v>
      </c>
      <c r="M300" s="151">
        <f ca="1">+MIN('S&amp;U'!$J17-SUM('Phase III Pro Forma'!$E300:L300),'Phase III Pro Forma'!M$292-SUM(M$295:M299))</f>
        <v>0</v>
      </c>
      <c r="N300" s="151">
        <f ca="1">+MIN('S&amp;U'!$J17-SUM('Phase III Pro Forma'!$E300:M300),'Phase III Pro Forma'!N$292-SUM(N$295:N299))</f>
        <v>0</v>
      </c>
      <c r="O300" s="151">
        <f ca="1">+MIN('S&amp;U'!$J17-SUM('Phase III Pro Forma'!$E300:N300),'Phase III Pro Forma'!O$292-SUM(O$295:O299))</f>
        <v>0</v>
      </c>
      <c r="P300" s="151">
        <f ca="1">+MIN('S&amp;U'!$J17-SUM('Phase III Pro Forma'!$E300:O300),'Phase III Pro Forma'!P$292-SUM(P$295:P299))</f>
        <v>0</v>
      </c>
      <c r="Q300" s="151">
        <f ca="1">+MIN('S&amp;U'!$J17-SUM('Phase III Pro Forma'!$E300:P300),'Phase III Pro Forma'!Q$292-SUM(Q$295:Q299))</f>
        <v>0</v>
      </c>
      <c r="R300" s="151">
        <f ca="1">+MIN('S&amp;U'!$J17-SUM('Phase III Pro Forma'!$E300:Q300),'Phase III Pro Forma'!R$292-SUM(R$295:R299))</f>
        <v>0</v>
      </c>
      <c r="S300" s="151">
        <f ca="1">+MIN('S&amp;U'!$J17-SUM('Phase III Pro Forma'!$E300:R300),'Phase III Pro Forma'!S$292-SUM(S$295:S299))</f>
        <v>0</v>
      </c>
      <c r="T300" s="151">
        <f ca="1">+MIN('S&amp;U'!$J17-SUM('Phase III Pro Forma'!$E300:S300),'Phase III Pro Forma'!T$292-SUM(T$295:T299))</f>
        <v>0</v>
      </c>
      <c r="U300" s="151">
        <f ca="1">+MIN('S&amp;U'!$J17-SUM('Phase III Pro Forma'!$E300:T300),'Phase III Pro Forma'!U$292-SUM(U$295:U299))</f>
        <v>0</v>
      </c>
      <c r="V300" s="151">
        <f ca="1">+MIN('S&amp;U'!$J17-SUM('Phase III Pro Forma'!$E300:U300),'Phase III Pro Forma'!V$292-SUM(V$295:V299))</f>
        <v>0</v>
      </c>
      <c r="W300" s="151">
        <f ca="1">+MIN('S&amp;U'!$J17-SUM('Phase III Pro Forma'!$E300:V300),'Phase III Pro Forma'!W$292-SUM(W$295:W299))</f>
        <v>0</v>
      </c>
      <c r="X300" s="151">
        <f ca="1">+MIN('S&amp;U'!$J17-SUM('Phase III Pro Forma'!$E300:W300),'Phase III Pro Forma'!X$292-SUM(X$295:X299))</f>
        <v>0</v>
      </c>
      <c r="Y300" s="151">
        <f ca="1">+MIN('S&amp;U'!$J17-SUM('Phase III Pro Forma'!$E300:X300),'Phase III Pro Forma'!Y$292-SUM(Y$295:Y299))</f>
        <v>0</v>
      </c>
      <c r="Z300" s="151">
        <f ca="1">+MIN('S&amp;U'!$J17-SUM('Phase III Pro Forma'!$E300:Y300),'Phase III Pro Forma'!Z$292-SUM(Z$295:Z299))</f>
        <v>0</v>
      </c>
    </row>
    <row r="301" spans="2:26" x14ac:dyDescent="0.35">
      <c r="B301" s="33" t="s">
        <v>98</v>
      </c>
      <c r="D301" s="48">
        <f t="shared" ca="1" si="118"/>
        <v>64274236.586260378</v>
      </c>
      <c r="E301" s="48"/>
      <c r="F301" s="151">
        <f ca="1">+MIN('S&amp;U'!$J18-SUM('Phase III Pro Forma'!$E301:E301),'Phase III Pro Forma'!F$292-SUM(F$295:F300))</f>
        <v>0</v>
      </c>
      <c r="G301" s="151">
        <f ca="1">+MIN('S&amp;U'!$J18-SUM('Phase III Pro Forma'!$E301:F301),'Phase III Pro Forma'!G$292-SUM(G$295:G300))</f>
        <v>0</v>
      </c>
      <c r="H301" s="151">
        <f ca="1">+MIN('S&amp;U'!$J18-SUM('Phase III Pro Forma'!$E301:G301),'Phase III Pro Forma'!H$292-SUM(H$295:H300))</f>
        <v>58675802.27820234</v>
      </c>
      <c r="I301" s="151">
        <f ca="1">+MIN('S&amp;U'!$J18-SUM('Phase III Pro Forma'!$E301:H301),'Phase III Pro Forma'!I$292-SUM(I$295:I300))</f>
        <v>2799217.1540290178</v>
      </c>
      <c r="J301" s="151">
        <f ca="1">+MIN('S&amp;U'!$J18-SUM('Phase III Pro Forma'!$E301:I301),'Phase III Pro Forma'!J$292-SUM(J$295:J300))</f>
        <v>2799217.1540289968</v>
      </c>
      <c r="K301" s="151">
        <f ca="1">+MIN('S&amp;U'!$J18-SUM('Phase III Pro Forma'!$E301:J301),'Phase III Pro Forma'!K$292-SUM(K$295:K300))</f>
        <v>0</v>
      </c>
      <c r="L301" s="151">
        <f ca="1">+MIN('S&amp;U'!$J18-SUM('Phase III Pro Forma'!$E301:K301),'Phase III Pro Forma'!L$292-SUM(L$295:L300))</f>
        <v>0</v>
      </c>
      <c r="M301" s="151">
        <f ca="1">+MIN('S&amp;U'!$J18-SUM('Phase III Pro Forma'!$E301:L301),'Phase III Pro Forma'!M$292-SUM(M$295:M300))</f>
        <v>0</v>
      </c>
      <c r="N301" s="151">
        <f ca="1">+MIN('S&amp;U'!$J18-SUM('Phase III Pro Forma'!$E301:M301),'Phase III Pro Forma'!N$292-SUM(N$295:N300))</f>
        <v>0</v>
      </c>
      <c r="O301" s="151">
        <f ca="1">+MIN('S&amp;U'!$J18-SUM('Phase III Pro Forma'!$E301:N301),'Phase III Pro Forma'!O$292-SUM(O$295:O300))</f>
        <v>0</v>
      </c>
      <c r="P301" s="151">
        <f ca="1">+MIN('S&amp;U'!$J18-SUM('Phase III Pro Forma'!$E301:O301),'Phase III Pro Forma'!P$292-SUM(P$295:P300))</f>
        <v>0</v>
      </c>
      <c r="Q301" s="151">
        <f ca="1">+MIN('S&amp;U'!$J18-SUM('Phase III Pro Forma'!$E301:P301),'Phase III Pro Forma'!Q$292-SUM(Q$295:Q300))</f>
        <v>0</v>
      </c>
      <c r="R301" s="151">
        <f ca="1">+MIN('S&amp;U'!$J18-SUM('Phase III Pro Forma'!$E301:Q301),'Phase III Pro Forma'!R$292-SUM(R$295:R300))</f>
        <v>0</v>
      </c>
      <c r="S301" s="151">
        <f ca="1">+MIN('S&amp;U'!$J18-SUM('Phase III Pro Forma'!$E301:R301),'Phase III Pro Forma'!S$292-SUM(S$295:S300))</f>
        <v>0</v>
      </c>
      <c r="T301" s="151">
        <f ca="1">+MIN('S&amp;U'!$J18-SUM('Phase III Pro Forma'!$E301:S301),'Phase III Pro Forma'!T$292-SUM(T$295:T300))</f>
        <v>0</v>
      </c>
      <c r="U301" s="151">
        <f ca="1">+MIN('S&amp;U'!$J18-SUM('Phase III Pro Forma'!$E301:T301),'Phase III Pro Forma'!U$292-SUM(U$295:U300))</f>
        <v>0</v>
      </c>
      <c r="V301" s="151">
        <f ca="1">+MIN('S&amp;U'!$J18-SUM('Phase III Pro Forma'!$E301:U301),'Phase III Pro Forma'!V$292-SUM(V$295:V300))</f>
        <v>0</v>
      </c>
      <c r="W301" s="151">
        <f ca="1">+MIN('S&amp;U'!$J18-SUM('Phase III Pro Forma'!$E301:V301),'Phase III Pro Forma'!W$292-SUM(W$295:W300))</f>
        <v>0</v>
      </c>
      <c r="X301" s="151">
        <f ca="1">+MIN('S&amp;U'!$J18-SUM('Phase III Pro Forma'!$E301:W301),'Phase III Pro Forma'!X$292-SUM(X$295:X300))</f>
        <v>0</v>
      </c>
      <c r="Y301" s="151">
        <f ca="1">+MIN('S&amp;U'!$J18-SUM('Phase III Pro Forma'!$E301:X301),'Phase III Pro Forma'!Y$292-SUM(Y$295:Y300))</f>
        <v>0</v>
      </c>
      <c r="Z301" s="151">
        <f ca="1">+MIN('S&amp;U'!$J18-SUM('Phase III Pro Forma'!$E301:Y301),'Phase III Pro Forma'!Z$292-SUM(Z$295:Z300))</f>
        <v>0</v>
      </c>
    </row>
    <row r="302" spans="2:26" x14ac:dyDescent="0.35">
      <c r="B302" s="138" t="s">
        <v>383</v>
      </c>
      <c r="C302" s="138"/>
      <c r="D302" s="139">
        <f t="shared" ca="1" si="118"/>
        <v>393547409.48665178</v>
      </c>
      <c r="E302" s="139"/>
      <c r="F302" s="139">
        <f t="shared" ref="F302:Z302" ca="1" si="120">+SUM(F295:F301)</f>
        <v>52170014.936448134</v>
      </c>
      <c r="G302" s="139">
        <f t="shared" ca="1" si="120"/>
        <v>167889480.12107283</v>
      </c>
      <c r="H302" s="139">
        <f t="shared" ca="1" si="120"/>
        <v>167889480.12107283</v>
      </c>
      <c r="I302" s="139">
        <f t="shared" ca="1" si="120"/>
        <v>2799217.1540290178</v>
      </c>
      <c r="J302" s="139">
        <f t="shared" ca="1" si="120"/>
        <v>2799217.1540289968</v>
      </c>
      <c r="K302" s="139">
        <f t="shared" ca="1" si="120"/>
        <v>0</v>
      </c>
      <c r="L302" s="139">
        <f t="shared" ca="1" si="120"/>
        <v>0</v>
      </c>
      <c r="M302" s="139">
        <f t="shared" ca="1" si="120"/>
        <v>0</v>
      </c>
      <c r="N302" s="139">
        <f t="shared" ca="1" si="120"/>
        <v>0</v>
      </c>
      <c r="O302" s="139">
        <f t="shared" ca="1" si="120"/>
        <v>0</v>
      </c>
      <c r="P302" s="139">
        <f t="shared" ca="1" si="120"/>
        <v>0</v>
      </c>
      <c r="Q302" s="139">
        <f t="shared" ca="1" si="120"/>
        <v>0</v>
      </c>
      <c r="R302" s="139">
        <f t="shared" ca="1" si="120"/>
        <v>0</v>
      </c>
      <c r="S302" s="139">
        <f t="shared" ca="1" si="120"/>
        <v>0</v>
      </c>
      <c r="T302" s="139">
        <f t="shared" ca="1" si="120"/>
        <v>0</v>
      </c>
      <c r="U302" s="139">
        <f t="shared" ca="1" si="120"/>
        <v>0</v>
      </c>
      <c r="V302" s="139">
        <f t="shared" ca="1" si="120"/>
        <v>0</v>
      </c>
      <c r="W302" s="139">
        <f t="shared" ca="1" si="120"/>
        <v>0</v>
      </c>
      <c r="X302" s="139">
        <f t="shared" ca="1" si="120"/>
        <v>0</v>
      </c>
      <c r="Y302" s="139">
        <f t="shared" ca="1" si="120"/>
        <v>0</v>
      </c>
      <c r="Z302" s="139">
        <f t="shared" ca="1" si="120"/>
        <v>0</v>
      </c>
    </row>
    <row r="304" spans="2:26" x14ac:dyDescent="0.35">
      <c r="B304" s="33" t="s">
        <v>443</v>
      </c>
      <c r="D304" s="48">
        <f t="shared" ref="D304" ca="1" si="121">+SUM(F304:Z304)</f>
        <v>80437263.390102193</v>
      </c>
      <c r="F304" s="42">
        <f ca="1">+SUM(F296:F298,F301)</f>
        <v>0</v>
      </c>
      <c r="G304" s="42">
        <f t="shared" ref="G304:Z304" ca="1" si="122">+SUM(G296:G298,G301)</f>
        <v>16163026.803841824</v>
      </c>
      <c r="H304" s="42">
        <f t="shared" ca="1" si="122"/>
        <v>58675802.27820234</v>
      </c>
      <c r="I304" s="42">
        <f t="shared" ca="1" si="122"/>
        <v>2799217.1540290178</v>
      </c>
      <c r="J304" s="42">
        <f t="shared" ca="1" si="122"/>
        <v>2799217.1540289968</v>
      </c>
      <c r="K304" s="42">
        <f t="shared" ca="1" si="122"/>
        <v>0</v>
      </c>
      <c r="L304" s="42">
        <f t="shared" ca="1" si="122"/>
        <v>0</v>
      </c>
      <c r="M304" s="42">
        <f t="shared" ca="1" si="122"/>
        <v>0</v>
      </c>
      <c r="N304" s="42">
        <f t="shared" ca="1" si="122"/>
        <v>0</v>
      </c>
      <c r="O304" s="42">
        <f t="shared" ca="1" si="122"/>
        <v>0</v>
      </c>
      <c r="P304" s="42">
        <f t="shared" ca="1" si="122"/>
        <v>0</v>
      </c>
      <c r="Q304" s="42">
        <f t="shared" ca="1" si="122"/>
        <v>0</v>
      </c>
      <c r="R304" s="42">
        <f t="shared" ca="1" si="122"/>
        <v>0</v>
      </c>
      <c r="S304" s="42">
        <f t="shared" ca="1" si="122"/>
        <v>0</v>
      </c>
      <c r="T304" s="42">
        <f t="shared" ca="1" si="122"/>
        <v>0</v>
      </c>
      <c r="U304" s="42">
        <f t="shared" ca="1" si="122"/>
        <v>0</v>
      </c>
      <c r="V304" s="42">
        <f t="shared" ca="1" si="122"/>
        <v>0</v>
      </c>
      <c r="W304" s="42">
        <f t="shared" ca="1" si="122"/>
        <v>0</v>
      </c>
      <c r="X304" s="42">
        <f t="shared" ca="1" si="122"/>
        <v>0</v>
      </c>
      <c r="Y304" s="42">
        <f t="shared" ca="1" si="122"/>
        <v>0</v>
      </c>
      <c r="Z304" s="42">
        <f t="shared" ca="1" si="122"/>
        <v>0</v>
      </c>
    </row>
    <row r="306" spans="2:26" x14ac:dyDescent="0.35">
      <c r="B306" s="148" t="s">
        <v>354</v>
      </c>
    </row>
    <row r="307" spans="2:26" x14ac:dyDescent="0.35">
      <c r="B307" s="33" t="s">
        <v>355</v>
      </c>
      <c r="D307" s="48">
        <f ca="1">+SUM(F307:Z307)</f>
        <v>-76981700.404558539</v>
      </c>
      <c r="E307" s="48"/>
      <c r="F307" s="34">
        <f t="shared" ref="F307:Z307" ca="1" si="123">-F295</f>
        <v>-52170014.936448134</v>
      </c>
      <c r="G307" s="34">
        <f t="shared" ca="1" si="123"/>
        <v>-24811685.468110405</v>
      </c>
      <c r="H307" s="34">
        <f t="shared" ca="1" si="123"/>
        <v>0</v>
      </c>
      <c r="I307" s="34">
        <f t="shared" ca="1" si="123"/>
        <v>0</v>
      </c>
      <c r="J307" s="34">
        <f t="shared" ca="1" si="123"/>
        <v>0</v>
      </c>
      <c r="K307" s="34">
        <f t="shared" ca="1" si="123"/>
        <v>0</v>
      </c>
      <c r="L307" s="34">
        <f t="shared" ca="1" si="123"/>
        <v>0</v>
      </c>
      <c r="M307" s="34">
        <f t="shared" ca="1" si="123"/>
        <v>0</v>
      </c>
      <c r="N307" s="34">
        <f t="shared" ca="1" si="123"/>
        <v>0</v>
      </c>
      <c r="O307" s="34">
        <f t="shared" ca="1" si="123"/>
        <v>0</v>
      </c>
      <c r="P307" s="34">
        <f t="shared" ca="1" si="123"/>
        <v>0</v>
      </c>
      <c r="Q307" s="34">
        <f t="shared" ca="1" si="123"/>
        <v>0</v>
      </c>
      <c r="R307" s="34">
        <f t="shared" ca="1" si="123"/>
        <v>0</v>
      </c>
      <c r="S307" s="34">
        <f t="shared" ca="1" si="123"/>
        <v>0</v>
      </c>
      <c r="T307" s="34">
        <f t="shared" ca="1" si="123"/>
        <v>0</v>
      </c>
      <c r="U307" s="34">
        <f t="shared" ca="1" si="123"/>
        <v>0</v>
      </c>
      <c r="V307" s="34">
        <f t="shared" ca="1" si="123"/>
        <v>0</v>
      </c>
      <c r="W307" s="34">
        <f t="shared" ca="1" si="123"/>
        <v>0</v>
      </c>
      <c r="X307" s="34">
        <f t="shared" ca="1" si="123"/>
        <v>0</v>
      </c>
      <c r="Y307" s="34">
        <f t="shared" ca="1" si="123"/>
        <v>0</v>
      </c>
      <c r="Z307" s="34">
        <f t="shared" ca="1" si="123"/>
        <v>0</v>
      </c>
    </row>
    <row r="308" spans="2:26" x14ac:dyDescent="0.35">
      <c r="B308" s="33" t="s">
        <v>356</v>
      </c>
      <c r="D308" s="48">
        <f t="shared" ref="D308" ca="1" si="124">+SUM(F308:Z308)</f>
        <v>238332491.30712652</v>
      </c>
      <c r="E308" s="48"/>
      <c r="F308" s="151">
        <f ca="1">+F277</f>
        <v>0</v>
      </c>
      <c r="G308" s="151">
        <f t="shared" ref="G308:Z308" ca="1" si="125">+G277</f>
        <v>0</v>
      </c>
      <c r="H308" s="151">
        <f t="shared" ca="1" si="125"/>
        <v>0</v>
      </c>
      <c r="I308" s="151">
        <f t="shared" ca="1" si="125"/>
        <v>36663039.119011164</v>
      </c>
      <c r="J308" s="151">
        <f t="shared" ca="1" si="125"/>
        <v>5163707.0895398315</v>
      </c>
      <c r="K308" s="151">
        <f t="shared" ca="1" si="125"/>
        <v>5446481.3733853698</v>
      </c>
      <c r="L308" s="151">
        <f t="shared" ca="1" si="125"/>
        <v>191059263.72519034</v>
      </c>
      <c r="M308" s="151">
        <f t="shared" si="125"/>
        <v>0</v>
      </c>
      <c r="N308" s="151">
        <f t="shared" si="125"/>
        <v>0</v>
      </c>
      <c r="O308" s="151">
        <f t="shared" si="125"/>
        <v>0</v>
      </c>
      <c r="P308" s="151">
        <f t="shared" si="125"/>
        <v>0</v>
      </c>
      <c r="Q308" s="151">
        <f t="shared" si="125"/>
        <v>0</v>
      </c>
      <c r="R308" s="151">
        <f t="shared" si="125"/>
        <v>0</v>
      </c>
      <c r="S308" s="151">
        <f t="shared" si="125"/>
        <v>0</v>
      </c>
      <c r="T308" s="151">
        <f t="shared" si="125"/>
        <v>0</v>
      </c>
      <c r="U308" s="151">
        <f t="shared" si="125"/>
        <v>0</v>
      </c>
      <c r="V308" s="151">
        <f t="shared" si="125"/>
        <v>0</v>
      </c>
      <c r="W308" s="151">
        <f t="shared" si="125"/>
        <v>0</v>
      </c>
      <c r="X308" s="151">
        <f t="shared" si="125"/>
        <v>0</v>
      </c>
      <c r="Y308" s="151">
        <f t="shared" si="125"/>
        <v>0</v>
      </c>
      <c r="Z308" s="151">
        <f t="shared" si="125"/>
        <v>0</v>
      </c>
    </row>
    <row r="309" spans="2:26" x14ac:dyDescent="0.35">
      <c r="B309" s="138" t="s">
        <v>357</v>
      </c>
      <c r="C309" s="138"/>
      <c r="D309" s="139">
        <f ca="1">+SUM(F309:Z309)</f>
        <v>161350790.90256798</v>
      </c>
      <c r="E309" s="139"/>
      <c r="F309" s="139">
        <f ca="1">+SUM(F307:F308)</f>
        <v>-52170014.936448134</v>
      </c>
      <c r="G309" s="139">
        <f t="shared" ref="G309:Z309" ca="1" si="126">+SUM(G307:G308)</f>
        <v>-24811685.468110405</v>
      </c>
      <c r="H309" s="139">
        <f t="shared" ca="1" si="126"/>
        <v>0</v>
      </c>
      <c r="I309" s="139">
        <f t="shared" ca="1" si="126"/>
        <v>36663039.119011164</v>
      </c>
      <c r="J309" s="139">
        <f t="shared" ca="1" si="126"/>
        <v>5163707.0895398315</v>
      </c>
      <c r="K309" s="139">
        <f t="shared" ca="1" si="126"/>
        <v>5446481.3733853698</v>
      </c>
      <c r="L309" s="139">
        <f t="shared" ca="1" si="126"/>
        <v>191059263.72519034</v>
      </c>
      <c r="M309" s="139">
        <f t="shared" ca="1" si="126"/>
        <v>0</v>
      </c>
      <c r="N309" s="139">
        <f t="shared" ca="1" si="126"/>
        <v>0</v>
      </c>
      <c r="O309" s="139">
        <f t="shared" ca="1" si="126"/>
        <v>0</v>
      </c>
      <c r="P309" s="139">
        <f t="shared" ca="1" si="126"/>
        <v>0</v>
      </c>
      <c r="Q309" s="139">
        <f t="shared" ca="1" si="126"/>
        <v>0</v>
      </c>
      <c r="R309" s="139">
        <f t="shared" ca="1" si="126"/>
        <v>0</v>
      </c>
      <c r="S309" s="139">
        <f t="shared" ca="1" si="126"/>
        <v>0</v>
      </c>
      <c r="T309" s="139">
        <f t="shared" ca="1" si="126"/>
        <v>0</v>
      </c>
      <c r="U309" s="139">
        <f t="shared" ca="1" si="126"/>
        <v>0</v>
      </c>
      <c r="V309" s="139">
        <f t="shared" ca="1" si="126"/>
        <v>0</v>
      </c>
      <c r="W309" s="139">
        <f t="shared" ca="1" si="126"/>
        <v>0</v>
      </c>
      <c r="X309" s="139">
        <f t="shared" ca="1" si="126"/>
        <v>0</v>
      </c>
      <c r="Y309" s="139">
        <f t="shared" ca="1" si="126"/>
        <v>0</v>
      </c>
      <c r="Z309" s="139">
        <f t="shared" ca="1" si="126"/>
        <v>0</v>
      </c>
    </row>
    <row r="311" spans="2:26" x14ac:dyDescent="0.35">
      <c r="B311" s="190" t="s">
        <v>361</v>
      </c>
      <c r="C311" s="190"/>
      <c r="D311" s="191">
        <f ca="1">+IRR(F309:Z309)</f>
        <v>0.25261779574553245</v>
      </c>
    </row>
    <row r="312" spans="2:26" x14ac:dyDescent="0.35">
      <c r="B312" s="141" t="s">
        <v>359</v>
      </c>
      <c r="C312" s="192"/>
      <c r="D312" s="142">
        <f ca="1">+SUM(F309:Z309)</f>
        <v>161350790.90256816</v>
      </c>
    </row>
    <row r="313" spans="2:26" x14ac:dyDescent="0.35">
      <c r="B313" s="194" t="s">
        <v>360</v>
      </c>
      <c r="C313" s="193"/>
      <c r="D313" s="195">
        <f ca="1">+D308/-D307</f>
        <v>3.0959629373556088</v>
      </c>
    </row>
    <row r="315" spans="2:26" x14ac:dyDescent="0.35">
      <c r="B315" s="37" t="s">
        <v>397</v>
      </c>
      <c r="C315" s="38"/>
      <c r="D315" s="38"/>
      <c r="E315" s="38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</row>
    <row r="317" spans="2:26" x14ac:dyDescent="0.35">
      <c r="B317" s="148" t="s">
        <v>251</v>
      </c>
      <c r="F317" s="150">
        <f>+F$294</f>
        <v>45657</v>
      </c>
      <c r="G317" s="150">
        <f t="shared" ref="G317:Z317" si="127">+G$294</f>
        <v>46022</v>
      </c>
      <c r="H317" s="150">
        <f t="shared" si="127"/>
        <v>46387</v>
      </c>
      <c r="I317" s="150">
        <f t="shared" si="127"/>
        <v>46752</v>
      </c>
      <c r="J317" s="150">
        <f t="shared" si="127"/>
        <v>47118</v>
      </c>
      <c r="K317" s="150">
        <f t="shared" si="127"/>
        <v>47483</v>
      </c>
      <c r="L317" s="150">
        <f t="shared" si="127"/>
        <v>47848</v>
      </c>
      <c r="M317" s="150">
        <f t="shared" si="127"/>
        <v>48213</v>
      </c>
      <c r="N317" s="150">
        <f t="shared" si="127"/>
        <v>48579</v>
      </c>
      <c r="O317" s="150">
        <f t="shared" si="127"/>
        <v>48944</v>
      </c>
      <c r="P317" s="150">
        <f t="shared" si="127"/>
        <v>49309</v>
      </c>
      <c r="Q317" s="150">
        <f t="shared" si="127"/>
        <v>49674</v>
      </c>
      <c r="R317" s="150">
        <f t="shared" si="127"/>
        <v>50040</v>
      </c>
      <c r="S317" s="150">
        <f t="shared" si="127"/>
        <v>50405</v>
      </c>
      <c r="T317" s="150">
        <f t="shared" si="127"/>
        <v>50770</v>
      </c>
      <c r="U317" s="150">
        <f t="shared" si="127"/>
        <v>51135</v>
      </c>
      <c r="V317" s="150">
        <f t="shared" si="127"/>
        <v>51501</v>
      </c>
      <c r="W317" s="150">
        <f t="shared" si="127"/>
        <v>51866</v>
      </c>
      <c r="X317" s="150">
        <f t="shared" si="127"/>
        <v>52231</v>
      </c>
      <c r="Y317" s="150">
        <f t="shared" si="127"/>
        <v>52596</v>
      </c>
      <c r="Z317" s="150">
        <f t="shared" si="127"/>
        <v>52962</v>
      </c>
    </row>
    <row r="318" spans="2:26" x14ac:dyDescent="0.35">
      <c r="B318" s="33" t="s">
        <v>777</v>
      </c>
      <c r="C318"/>
      <c r="D318"/>
      <c r="E318"/>
      <c r="F318" s="34">
        <f ca="1">+F$138</f>
        <v>0</v>
      </c>
      <c r="G318" s="34">
        <f t="shared" ref="G318:Z318" ca="1" si="128">+G$138</f>
        <v>0</v>
      </c>
      <c r="H318" s="34">
        <f t="shared" ca="1" si="128"/>
        <v>0</v>
      </c>
      <c r="I318" s="34">
        <f t="shared" ca="1" si="128"/>
        <v>11161559.888533447</v>
      </c>
      <c r="J318" s="34">
        <f t="shared" ca="1" si="128"/>
        <v>22506312.187976442</v>
      </c>
      <c r="K318" s="34">
        <f t="shared" ca="1" si="128"/>
        <v>22752875.065934889</v>
      </c>
      <c r="L318" s="34">
        <f t="shared" ca="1" si="128"/>
        <v>24578526.875471123</v>
      </c>
      <c r="M318" s="34">
        <f t="shared" ca="1" si="128"/>
        <v>24781412.193075653</v>
      </c>
      <c r="N318" s="34">
        <f t="shared" ca="1" si="128"/>
        <v>25049397.797417622</v>
      </c>
      <c r="O318" s="34">
        <f t="shared" ca="1" si="128"/>
        <v>25324938.034431577</v>
      </c>
      <c r="P318" s="34">
        <f t="shared" ca="1" si="128"/>
        <v>25549338.25486248</v>
      </c>
      <c r="Q318" s="34">
        <f t="shared" ca="1" si="128"/>
        <v>27568151.316594727</v>
      </c>
      <c r="R318" s="34">
        <f t="shared" ca="1" si="128"/>
        <v>27867682.535733871</v>
      </c>
      <c r="S318" s="34">
        <f t="shared" ca="1" si="128"/>
        <v>28115584.960395083</v>
      </c>
      <c r="T318" s="34">
        <f t="shared" ca="1" si="128"/>
        <v>28432281.565821871</v>
      </c>
      <c r="U318" s="34">
        <f t="shared" ca="1" si="128"/>
        <v>28757932.953322574</v>
      </c>
      <c r="V318" s="34">
        <f t="shared" ca="1" si="128"/>
        <v>30929811.93117993</v>
      </c>
      <c r="W318" s="34">
        <f t="shared" ca="1" si="128"/>
        <v>31274153.559437558</v>
      </c>
      <c r="X318" s="34">
        <f t="shared" ca="1" si="128"/>
        <v>31628245.893780448</v>
      </c>
      <c r="Y318" s="34">
        <f t="shared" ca="1" si="128"/>
        <v>31929852.414438207</v>
      </c>
      <c r="Z318" s="34">
        <f t="shared" ca="1" si="128"/>
        <v>32304297.148026269</v>
      </c>
    </row>
    <row r="319" spans="2:26" x14ac:dyDescent="0.35">
      <c r="B319" s="33" t="s">
        <v>778</v>
      </c>
      <c r="C319"/>
      <c r="D319"/>
      <c r="E319"/>
      <c r="F319" s="151">
        <f ca="1">+F$206</f>
        <v>0</v>
      </c>
      <c r="G319" s="151">
        <f t="shared" ref="G319:Z319" ca="1" si="129">+G$206</f>
        <v>0</v>
      </c>
      <c r="H319" s="151">
        <f t="shared" ca="1" si="129"/>
        <v>0</v>
      </c>
      <c r="I319" s="151">
        <f t="shared" ca="1" si="129"/>
        <v>214730.89300095788</v>
      </c>
      <c r="J319" s="151">
        <f t="shared" ca="1" si="129"/>
        <v>507761.97664471564</v>
      </c>
      <c r="K319" s="151">
        <f t="shared" ca="1" si="129"/>
        <v>543973.38253181055</v>
      </c>
      <c r="L319" s="151">
        <f t="shared" ca="1" si="129"/>
        <v>558284.64298444171</v>
      </c>
      <c r="M319" s="151">
        <f t="shared" ca="1" si="129"/>
        <v>569450.33584413049</v>
      </c>
      <c r="N319" s="151">
        <f t="shared" ca="1" si="129"/>
        <v>584339.77121904842</v>
      </c>
      <c r="O319" s="151">
        <f t="shared" ca="1" si="129"/>
        <v>599526.99530146434</v>
      </c>
      <c r="P319" s="151">
        <f t="shared" ca="1" si="129"/>
        <v>611517.53520749416</v>
      </c>
      <c r="Q319" s="151">
        <f t="shared" ca="1" si="129"/>
        <v>627318.32314284029</v>
      </c>
      <c r="R319" s="151">
        <f t="shared" ca="1" si="129"/>
        <v>643435.12683689257</v>
      </c>
      <c r="S319" s="151">
        <f t="shared" ca="1" si="129"/>
        <v>656303.82937363128</v>
      </c>
      <c r="T319" s="151">
        <f t="shared" ca="1" si="129"/>
        <v>673071.75193692395</v>
      </c>
      <c r="U319" s="151">
        <f t="shared" ca="1" si="129"/>
        <v>690175.03295148199</v>
      </c>
      <c r="V319" s="151">
        <f t="shared" ca="1" si="129"/>
        <v>703978.5336105118</v>
      </c>
      <c r="W319" s="151">
        <f t="shared" ca="1" si="129"/>
        <v>721772.78717805818</v>
      </c>
      <c r="X319" s="151">
        <f t="shared" ca="1" si="129"/>
        <v>739922.92581695563</v>
      </c>
      <c r="Y319" s="151">
        <f t="shared" ca="1" si="129"/>
        <v>754721.3843332947</v>
      </c>
      <c r="Z319" s="151">
        <f t="shared" ca="1" si="129"/>
        <v>773604.78857320419</v>
      </c>
    </row>
    <row r="320" spans="2:26" x14ac:dyDescent="0.35">
      <c r="B320" s="33" t="s">
        <v>779</v>
      </c>
      <c r="C320"/>
      <c r="D320"/>
      <c r="E320"/>
      <c r="F320" s="151">
        <f ca="1">+F$251</f>
        <v>0</v>
      </c>
      <c r="G320" s="151">
        <f t="shared" ref="G320:Z320" ca="1" si="130">+G$251</f>
        <v>0</v>
      </c>
      <c r="H320" s="151">
        <f t="shared" ca="1" si="130"/>
        <v>0</v>
      </c>
      <c r="I320" s="151">
        <f t="shared" ca="1" si="130"/>
        <v>1432396.7654325122</v>
      </c>
      <c r="J320" s="151">
        <f t="shared" ca="1" si="130"/>
        <v>2864793.5308650248</v>
      </c>
      <c r="K320" s="151">
        <f t="shared" ca="1" si="130"/>
        <v>2864793.5308650248</v>
      </c>
      <c r="L320" s="151">
        <f t="shared" ca="1" si="130"/>
        <v>3151272.8839515271</v>
      </c>
      <c r="M320" s="151">
        <f t="shared" ca="1" si="130"/>
        <v>3151272.8839515271</v>
      </c>
      <c r="N320" s="151">
        <f t="shared" ca="1" si="130"/>
        <v>3151272.8839515271</v>
      </c>
      <c r="O320" s="151">
        <f t="shared" ca="1" si="130"/>
        <v>3151272.8839515271</v>
      </c>
      <c r="P320" s="151">
        <f t="shared" ca="1" si="130"/>
        <v>3151272.8839515271</v>
      </c>
      <c r="Q320" s="151">
        <f t="shared" ca="1" si="130"/>
        <v>3466400.17234668</v>
      </c>
      <c r="R320" s="151">
        <f t="shared" ca="1" si="130"/>
        <v>3466400.17234668</v>
      </c>
      <c r="S320" s="151">
        <f t="shared" ca="1" si="130"/>
        <v>3466400.1723466795</v>
      </c>
      <c r="T320" s="151">
        <f t="shared" ca="1" si="130"/>
        <v>3466400.172346679</v>
      </c>
      <c r="U320" s="151">
        <f t="shared" ca="1" si="130"/>
        <v>3466400.1723466795</v>
      </c>
      <c r="V320" s="151">
        <f t="shared" ca="1" si="130"/>
        <v>3813040.1895813486</v>
      </c>
      <c r="W320" s="151">
        <f t="shared" ca="1" si="130"/>
        <v>3813040.1895813476</v>
      </c>
      <c r="X320" s="151">
        <f t="shared" ca="1" si="130"/>
        <v>3813040.1895813476</v>
      </c>
      <c r="Y320" s="151">
        <f t="shared" ca="1" si="130"/>
        <v>3813040.1895813481</v>
      </c>
      <c r="Z320" s="151">
        <f t="shared" ca="1" si="130"/>
        <v>3813040.1895813476</v>
      </c>
    </row>
    <row r="321" spans="2:26" x14ac:dyDescent="0.35">
      <c r="B321" s="138" t="s">
        <v>251</v>
      </c>
      <c r="C321" s="138"/>
      <c r="D321" s="139"/>
      <c r="E321" s="139"/>
      <c r="F321" s="139">
        <f t="shared" ref="F321:Z321" ca="1" si="131">+SUM(F318:F320)</f>
        <v>0</v>
      </c>
      <c r="G321" s="139">
        <f t="shared" ca="1" si="131"/>
        <v>0</v>
      </c>
      <c r="H321" s="139">
        <f t="shared" ca="1" si="131"/>
        <v>0</v>
      </c>
      <c r="I321" s="139">
        <f t="shared" ca="1" si="131"/>
        <v>12808687.546966918</v>
      </c>
      <c r="J321" s="139">
        <f t="shared" ca="1" si="131"/>
        <v>25878867.695486184</v>
      </c>
      <c r="K321" s="139">
        <f t="shared" ca="1" si="131"/>
        <v>26161641.979331724</v>
      </c>
      <c r="L321" s="139">
        <f t="shared" ca="1" si="131"/>
        <v>28288084.402407091</v>
      </c>
      <c r="M321" s="139">
        <f t="shared" ca="1" si="131"/>
        <v>28502135.412871309</v>
      </c>
      <c r="N321" s="139">
        <f t="shared" ca="1" si="131"/>
        <v>28785010.452588197</v>
      </c>
      <c r="O321" s="139">
        <f t="shared" ca="1" si="131"/>
        <v>29075737.913684566</v>
      </c>
      <c r="P321" s="139">
        <f t="shared" ca="1" si="131"/>
        <v>29312128.674021501</v>
      </c>
      <c r="Q321" s="139">
        <f t="shared" ca="1" si="131"/>
        <v>31661869.81208425</v>
      </c>
      <c r="R321" s="139">
        <f t="shared" ca="1" si="131"/>
        <v>31977517.834917445</v>
      </c>
      <c r="S321" s="139">
        <f t="shared" ca="1" si="131"/>
        <v>32238288.962115392</v>
      </c>
      <c r="T321" s="139">
        <f t="shared" ca="1" si="131"/>
        <v>32571753.490105473</v>
      </c>
      <c r="U321" s="139">
        <f t="shared" ca="1" si="131"/>
        <v>32914508.158620737</v>
      </c>
      <c r="V321" s="139">
        <f t="shared" ca="1" si="131"/>
        <v>35446830.654371791</v>
      </c>
      <c r="W321" s="139">
        <f t="shared" ca="1" si="131"/>
        <v>35808966.536196962</v>
      </c>
      <c r="X321" s="139">
        <f t="shared" ca="1" si="131"/>
        <v>36181209.00917875</v>
      </c>
      <c r="Y321" s="139">
        <f t="shared" ca="1" si="131"/>
        <v>36497613.98835285</v>
      </c>
      <c r="Z321" s="139">
        <f t="shared" ca="1" si="131"/>
        <v>36890942.12618082</v>
      </c>
    </row>
    <row r="323" spans="2:26" x14ac:dyDescent="0.35">
      <c r="B323" s="148" t="s">
        <v>152</v>
      </c>
      <c r="F323" s="150">
        <f>+F$294</f>
        <v>45657</v>
      </c>
      <c r="G323" s="150">
        <f t="shared" ref="G323:Z323" si="132">+G$294</f>
        <v>46022</v>
      </c>
      <c r="H323" s="150">
        <f t="shared" si="132"/>
        <v>46387</v>
      </c>
      <c r="I323" s="150">
        <f t="shared" si="132"/>
        <v>46752</v>
      </c>
      <c r="J323" s="150">
        <f t="shared" si="132"/>
        <v>47118</v>
      </c>
      <c r="K323" s="150">
        <f t="shared" si="132"/>
        <v>47483</v>
      </c>
      <c r="L323" s="150">
        <f t="shared" si="132"/>
        <v>47848</v>
      </c>
      <c r="M323" s="150">
        <f t="shared" si="132"/>
        <v>48213</v>
      </c>
      <c r="N323" s="150">
        <f t="shared" si="132"/>
        <v>48579</v>
      </c>
      <c r="O323" s="150">
        <f t="shared" si="132"/>
        <v>48944</v>
      </c>
      <c r="P323" s="150">
        <f t="shared" si="132"/>
        <v>49309</v>
      </c>
      <c r="Q323" s="150">
        <f t="shared" si="132"/>
        <v>49674</v>
      </c>
      <c r="R323" s="150">
        <f t="shared" si="132"/>
        <v>50040</v>
      </c>
      <c r="S323" s="150">
        <f t="shared" si="132"/>
        <v>50405</v>
      </c>
      <c r="T323" s="150">
        <f t="shared" si="132"/>
        <v>50770</v>
      </c>
      <c r="U323" s="150">
        <f t="shared" si="132"/>
        <v>51135</v>
      </c>
      <c r="V323" s="150">
        <f t="shared" si="132"/>
        <v>51501</v>
      </c>
      <c r="W323" s="150">
        <f t="shared" si="132"/>
        <v>51866</v>
      </c>
      <c r="X323" s="150">
        <f t="shared" si="132"/>
        <v>52231</v>
      </c>
      <c r="Y323" s="150">
        <f t="shared" si="132"/>
        <v>52596</v>
      </c>
      <c r="Z323" s="150">
        <f t="shared" si="132"/>
        <v>52962</v>
      </c>
    </row>
    <row r="324" spans="2:26" x14ac:dyDescent="0.35">
      <c r="B324" s="33" t="s">
        <v>342</v>
      </c>
      <c r="C324"/>
      <c r="D324"/>
      <c r="E324"/>
      <c r="F324" s="34">
        <f t="shared" ref="F324:Z324" si="133">+F270+F225+F155</f>
        <v>0</v>
      </c>
      <c r="G324" s="34">
        <f t="shared" si="133"/>
        <v>0</v>
      </c>
      <c r="H324" s="34">
        <f t="shared" si="133"/>
        <v>0</v>
      </c>
      <c r="I324" s="34">
        <f t="shared" si="133"/>
        <v>0</v>
      </c>
      <c r="J324" s="34">
        <f t="shared" si="133"/>
        <v>0</v>
      </c>
      <c r="K324" s="34">
        <f t="shared" si="133"/>
        <v>0</v>
      </c>
      <c r="L324" s="34">
        <f t="shared" ca="1" si="133"/>
        <v>463461713.43663049</v>
      </c>
      <c r="M324" s="34">
        <f t="shared" si="133"/>
        <v>0</v>
      </c>
      <c r="N324" s="34">
        <f t="shared" si="133"/>
        <v>0</v>
      </c>
      <c r="O324" s="34">
        <f t="shared" si="133"/>
        <v>0</v>
      </c>
      <c r="P324" s="34">
        <f t="shared" si="133"/>
        <v>0</v>
      </c>
      <c r="Q324" s="34">
        <f t="shared" si="133"/>
        <v>0</v>
      </c>
      <c r="R324" s="34">
        <f t="shared" si="133"/>
        <v>0</v>
      </c>
      <c r="S324" s="34">
        <f t="shared" si="133"/>
        <v>0</v>
      </c>
      <c r="T324" s="34">
        <f t="shared" si="133"/>
        <v>0</v>
      </c>
      <c r="U324" s="34">
        <f t="shared" si="133"/>
        <v>0</v>
      </c>
      <c r="V324" s="34">
        <f t="shared" si="133"/>
        <v>0</v>
      </c>
      <c r="W324" s="34">
        <f t="shared" si="133"/>
        <v>0</v>
      </c>
      <c r="X324" s="34">
        <f t="shared" si="133"/>
        <v>0</v>
      </c>
      <c r="Y324" s="34">
        <f t="shared" si="133"/>
        <v>0</v>
      </c>
      <c r="Z324" s="34">
        <f t="shared" si="133"/>
        <v>0</v>
      </c>
    </row>
    <row r="325" spans="2:26" x14ac:dyDescent="0.35">
      <c r="B325" s="33" t="s">
        <v>343</v>
      </c>
      <c r="F325" s="151">
        <f t="shared" ref="F325:Z325" si="134">+F271+F226+F157</f>
        <v>0</v>
      </c>
      <c r="G325" s="151">
        <f t="shared" si="134"/>
        <v>0</v>
      </c>
      <c r="H325" s="151">
        <f t="shared" si="134"/>
        <v>0</v>
      </c>
      <c r="I325" s="151">
        <f t="shared" si="134"/>
        <v>0</v>
      </c>
      <c r="J325" s="151">
        <f t="shared" si="134"/>
        <v>0</v>
      </c>
      <c r="K325" s="151">
        <f t="shared" si="134"/>
        <v>0</v>
      </c>
      <c r="L325" s="151">
        <f t="shared" ca="1" si="134"/>
        <v>-9269234.2687326111</v>
      </c>
      <c r="M325" s="151">
        <f t="shared" si="134"/>
        <v>0</v>
      </c>
      <c r="N325" s="151">
        <f t="shared" si="134"/>
        <v>0</v>
      </c>
      <c r="O325" s="151">
        <f t="shared" si="134"/>
        <v>0</v>
      </c>
      <c r="P325" s="151">
        <f t="shared" si="134"/>
        <v>0</v>
      </c>
      <c r="Q325" s="151">
        <f t="shared" si="134"/>
        <v>0</v>
      </c>
      <c r="R325" s="151">
        <f t="shared" si="134"/>
        <v>0</v>
      </c>
      <c r="S325" s="151">
        <f t="shared" si="134"/>
        <v>0</v>
      </c>
      <c r="T325" s="151">
        <f t="shared" si="134"/>
        <v>0</v>
      </c>
      <c r="U325" s="151">
        <f t="shared" si="134"/>
        <v>0</v>
      </c>
      <c r="V325" s="151">
        <f t="shared" si="134"/>
        <v>0</v>
      </c>
      <c r="W325" s="151">
        <f t="shared" si="134"/>
        <v>0</v>
      </c>
      <c r="X325" s="151">
        <f t="shared" si="134"/>
        <v>0</v>
      </c>
      <c r="Y325" s="151">
        <f t="shared" si="134"/>
        <v>0</v>
      </c>
      <c r="Z325" s="151">
        <f t="shared" si="134"/>
        <v>0</v>
      </c>
    </row>
    <row r="326" spans="2:26" x14ac:dyDescent="0.35">
      <c r="B326" s="138" t="s">
        <v>345</v>
      </c>
      <c r="C326" s="138"/>
      <c r="D326" s="139"/>
      <c r="E326" s="139"/>
      <c r="F326" s="139">
        <f>+SUM(F324:F325)</f>
        <v>0</v>
      </c>
      <c r="G326" s="139">
        <f t="shared" ref="G326:Z326" si="135">+SUM(G324:G325)</f>
        <v>0</v>
      </c>
      <c r="H326" s="139">
        <f t="shared" si="135"/>
        <v>0</v>
      </c>
      <c r="I326" s="139">
        <f t="shared" si="135"/>
        <v>0</v>
      </c>
      <c r="J326" s="139">
        <f t="shared" si="135"/>
        <v>0</v>
      </c>
      <c r="K326" s="139">
        <f t="shared" si="135"/>
        <v>0</v>
      </c>
      <c r="L326" s="139">
        <f t="shared" ca="1" si="135"/>
        <v>454192479.16789788</v>
      </c>
      <c r="M326" s="139">
        <f t="shared" si="135"/>
        <v>0</v>
      </c>
      <c r="N326" s="139">
        <f t="shared" si="135"/>
        <v>0</v>
      </c>
      <c r="O326" s="139">
        <f t="shared" si="135"/>
        <v>0</v>
      </c>
      <c r="P326" s="139">
        <f t="shared" si="135"/>
        <v>0</v>
      </c>
      <c r="Q326" s="139">
        <f t="shared" si="135"/>
        <v>0</v>
      </c>
      <c r="R326" s="139">
        <f t="shared" si="135"/>
        <v>0</v>
      </c>
      <c r="S326" s="139">
        <f t="shared" si="135"/>
        <v>0</v>
      </c>
      <c r="T326" s="139">
        <f t="shared" si="135"/>
        <v>0</v>
      </c>
      <c r="U326" s="139">
        <f t="shared" si="135"/>
        <v>0</v>
      </c>
      <c r="V326" s="139">
        <f t="shared" si="135"/>
        <v>0</v>
      </c>
      <c r="W326" s="139">
        <f t="shared" si="135"/>
        <v>0</v>
      </c>
      <c r="X326" s="139">
        <f t="shared" si="135"/>
        <v>0</v>
      </c>
      <c r="Y326" s="139">
        <f t="shared" si="135"/>
        <v>0</v>
      </c>
      <c r="Z326" s="139">
        <f t="shared" si="135"/>
        <v>0</v>
      </c>
    </row>
    <row r="328" spans="2:26" x14ac:dyDescent="0.35">
      <c r="B328" s="148" t="s">
        <v>398</v>
      </c>
      <c r="F328" s="150">
        <f t="shared" ref="F328:Z328" si="136">+F$294</f>
        <v>45657</v>
      </c>
      <c r="G328" s="150">
        <f t="shared" si="136"/>
        <v>46022</v>
      </c>
      <c r="H328" s="150">
        <f t="shared" si="136"/>
        <v>46387</v>
      </c>
      <c r="I328" s="150">
        <f t="shared" si="136"/>
        <v>46752</v>
      </c>
      <c r="J328" s="150">
        <f t="shared" si="136"/>
        <v>47118</v>
      </c>
      <c r="K328" s="150">
        <f t="shared" si="136"/>
        <v>47483</v>
      </c>
      <c r="L328" s="150">
        <f t="shared" si="136"/>
        <v>47848</v>
      </c>
      <c r="M328" s="150">
        <f t="shared" si="136"/>
        <v>48213</v>
      </c>
      <c r="N328" s="150">
        <f t="shared" si="136"/>
        <v>48579</v>
      </c>
      <c r="O328" s="150">
        <f t="shared" si="136"/>
        <v>48944</v>
      </c>
      <c r="P328" s="150">
        <f t="shared" si="136"/>
        <v>49309</v>
      </c>
      <c r="Q328" s="150">
        <f t="shared" si="136"/>
        <v>49674</v>
      </c>
      <c r="R328" s="150">
        <f t="shared" si="136"/>
        <v>50040</v>
      </c>
      <c r="S328" s="150">
        <f t="shared" si="136"/>
        <v>50405</v>
      </c>
      <c r="T328" s="150">
        <f t="shared" si="136"/>
        <v>50770</v>
      </c>
      <c r="U328" s="150">
        <f t="shared" si="136"/>
        <v>51135</v>
      </c>
      <c r="V328" s="150">
        <f t="shared" si="136"/>
        <v>51501</v>
      </c>
      <c r="W328" s="150">
        <f t="shared" si="136"/>
        <v>51866</v>
      </c>
      <c r="X328" s="150">
        <f t="shared" si="136"/>
        <v>52231</v>
      </c>
      <c r="Y328" s="150">
        <f t="shared" si="136"/>
        <v>52596</v>
      </c>
      <c r="Z328" s="150">
        <f t="shared" si="136"/>
        <v>52962</v>
      </c>
    </row>
    <row r="329" spans="2:26" x14ac:dyDescent="0.35">
      <c r="B329" s="33" t="s">
        <v>61</v>
      </c>
      <c r="D329" s="48">
        <f>+SUM(F329:Z329)</f>
        <v>9121587</v>
      </c>
      <c r="E329" s="48"/>
      <c r="F329" s="34">
        <f t="shared" ref="F329:Z329" si="137">+F285</f>
        <v>9121587</v>
      </c>
      <c r="G329" s="34">
        <f t="shared" si="137"/>
        <v>0</v>
      </c>
      <c r="H329" s="34">
        <f t="shared" si="137"/>
        <v>0</v>
      </c>
      <c r="I329" s="34">
        <f t="shared" si="137"/>
        <v>0</v>
      </c>
      <c r="J329" s="34">
        <f t="shared" si="137"/>
        <v>0</v>
      </c>
      <c r="K329" s="34">
        <f t="shared" si="137"/>
        <v>0</v>
      </c>
      <c r="L329" s="34">
        <f t="shared" si="137"/>
        <v>0</v>
      </c>
      <c r="M329" s="34">
        <f t="shared" si="137"/>
        <v>0</v>
      </c>
      <c r="N329" s="34">
        <f t="shared" si="137"/>
        <v>0</v>
      </c>
      <c r="O329" s="34">
        <f t="shared" si="137"/>
        <v>0</v>
      </c>
      <c r="P329" s="34">
        <f t="shared" si="137"/>
        <v>0</v>
      </c>
      <c r="Q329" s="34">
        <f t="shared" si="137"/>
        <v>0</v>
      </c>
      <c r="R329" s="34">
        <f t="shared" si="137"/>
        <v>0</v>
      </c>
      <c r="S329" s="34">
        <f t="shared" si="137"/>
        <v>0</v>
      </c>
      <c r="T329" s="34">
        <f t="shared" si="137"/>
        <v>0</v>
      </c>
      <c r="U329" s="34">
        <f t="shared" si="137"/>
        <v>0</v>
      </c>
      <c r="V329" s="34">
        <f t="shared" si="137"/>
        <v>0</v>
      </c>
      <c r="W329" s="34">
        <f t="shared" si="137"/>
        <v>0</v>
      </c>
      <c r="X329" s="34">
        <f t="shared" si="137"/>
        <v>0</v>
      </c>
      <c r="Y329" s="34">
        <f t="shared" si="137"/>
        <v>0</v>
      </c>
      <c r="Z329" s="34">
        <f t="shared" si="137"/>
        <v>0</v>
      </c>
    </row>
    <row r="330" spans="2:26" x14ac:dyDescent="0.35">
      <c r="B330" s="33" t="s">
        <v>8</v>
      </c>
      <c r="D330" s="48">
        <f t="shared" ref="D330:D335" si="138">+SUM(F330:Z330)</f>
        <v>29495173.948328272</v>
      </c>
      <c r="E330" s="48"/>
      <c r="F330" s="151">
        <f t="shared" ref="F330:Z330" si="139">+F286</f>
        <v>29495173.948328272</v>
      </c>
      <c r="G330" s="151">
        <f t="shared" si="139"/>
        <v>0</v>
      </c>
      <c r="H330" s="151">
        <f t="shared" si="139"/>
        <v>0</v>
      </c>
      <c r="I330" s="151">
        <f t="shared" si="139"/>
        <v>0</v>
      </c>
      <c r="J330" s="151">
        <f t="shared" si="139"/>
        <v>0</v>
      </c>
      <c r="K330" s="151">
        <f t="shared" si="139"/>
        <v>0</v>
      </c>
      <c r="L330" s="151">
        <f t="shared" si="139"/>
        <v>0</v>
      </c>
      <c r="M330" s="151">
        <f t="shared" si="139"/>
        <v>0</v>
      </c>
      <c r="N330" s="151">
        <f t="shared" si="139"/>
        <v>0</v>
      </c>
      <c r="O330" s="151">
        <f t="shared" si="139"/>
        <v>0</v>
      </c>
      <c r="P330" s="151">
        <f t="shared" si="139"/>
        <v>0</v>
      </c>
      <c r="Q330" s="151">
        <f t="shared" si="139"/>
        <v>0</v>
      </c>
      <c r="R330" s="151">
        <f t="shared" si="139"/>
        <v>0</v>
      </c>
      <c r="S330" s="151">
        <f t="shared" si="139"/>
        <v>0</v>
      </c>
      <c r="T330" s="151">
        <f t="shared" si="139"/>
        <v>0</v>
      </c>
      <c r="U330" s="151">
        <f t="shared" si="139"/>
        <v>0</v>
      </c>
      <c r="V330" s="151">
        <f t="shared" si="139"/>
        <v>0</v>
      </c>
      <c r="W330" s="151">
        <f t="shared" si="139"/>
        <v>0</v>
      </c>
      <c r="X330" s="151">
        <f t="shared" si="139"/>
        <v>0</v>
      </c>
      <c r="Y330" s="151">
        <f t="shared" si="139"/>
        <v>0</v>
      </c>
      <c r="Z330" s="151">
        <f t="shared" si="139"/>
        <v>0</v>
      </c>
    </row>
    <row r="331" spans="2:26" x14ac:dyDescent="0.35">
      <c r="B331" s="33" t="s">
        <v>57</v>
      </c>
      <c r="D331" s="48">
        <f t="shared" ca="1" si="138"/>
        <v>291051583.54014122</v>
      </c>
      <c r="E331" s="48"/>
      <c r="F331" s="151">
        <f t="shared" ref="F331:Z331" si="140">+F287</f>
        <v>0</v>
      </c>
      <c r="G331" s="151">
        <f t="shared" ca="1" si="140"/>
        <v>145525791.77007061</v>
      </c>
      <c r="H331" s="151">
        <f t="shared" ca="1" si="140"/>
        <v>145525791.77007061</v>
      </c>
      <c r="I331" s="151">
        <f t="shared" si="140"/>
        <v>0</v>
      </c>
      <c r="J331" s="151">
        <f t="shared" si="140"/>
        <v>0</v>
      </c>
      <c r="K331" s="151">
        <f t="shared" si="140"/>
        <v>0</v>
      </c>
      <c r="L331" s="151">
        <f t="shared" si="140"/>
        <v>0</v>
      </c>
      <c r="M331" s="151">
        <f t="shared" si="140"/>
        <v>0</v>
      </c>
      <c r="N331" s="151">
        <f t="shared" si="140"/>
        <v>0</v>
      </c>
      <c r="O331" s="151">
        <f t="shared" si="140"/>
        <v>0</v>
      </c>
      <c r="P331" s="151">
        <f t="shared" si="140"/>
        <v>0</v>
      </c>
      <c r="Q331" s="151">
        <f t="shared" si="140"/>
        <v>0</v>
      </c>
      <c r="R331" s="151">
        <f t="shared" si="140"/>
        <v>0</v>
      </c>
      <c r="S331" s="151">
        <f t="shared" si="140"/>
        <v>0</v>
      </c>
      <c r="T331" s="151">
        <f t="shared" si="140"/>
        <v>0</v>
      </c>
      <c r="U331" s="151">
        <f t="shared" si="140"/>
        <v>0</v>
      </c>
      <c r="V331" s="151">
        <f t="shared" si="140"/>
        <v>0</v>
      </c>
      <c r="W331" s="151">
        <f t="shared" si="140"/>
        <v>0</v>
      </c>
      <c r="X331" s="151">
        <f t="shared" si="140"/>
        <v>0</v>
      </c>
      <c r="Y331" s="151">
        <f t="shared" si="140"/>
        <v>0</v>
      </c>
      <c r="Z331" s="151">
        <f t="shared" si="140"/>
        <v>0</v>
      </c>
    </row>
    <row r="332" spans="2:26" x14ac:dyDescent="0.35">
      <c r="B332" s="33" t="s">
        <v>58</v>
      </c>
      <c r="D332" s="48">
        <f t="shared" ca="1" si="138"/>
        <v>24310374.98793355</v>
      </c>
      <c r="E332" s="48"/>
      <c r="F332" s="151">
        <f t="shared" ref="F332:Z332" ca="1" si="141">+F288</f>
        <v>13553253.988119861</v>
      </c>
      <c r="G332" s="151">
        <f t="shared" ca="1" si="141"/>
        <v>5378560.4999068445</v>
      </c>
      <c r="H332" s="151">
        <f t="shared" ca="1" si="141"/>
        <v>5378560.4999068445</v>
      </c>
      <c r="I332" s="151">
        <f t="shared" si="141"/>
        <v>0</v>
      </c>
      <c r="J332" s="151">
        <f t="shared" si="141"/>
        <v>0</v>
      </c>
      <c r="K332" s="151">
        <f t="shared" si="141"/>
        <v>0</v>
      </c>
      <c r="L332" s="151">
        <f t="shared" si="141"/>
        <v>0</v>
      </c>
      <c r="M332" s="151">
        <f t="shared" si="141"/>
        <v>0</v>
      </c>
      <c r="N332" s="151">
        <f t="shared" si="141"/>
        <v>0</v>
      </c>
      <c r="O332" s="151">
        <f t="shared" si="141"/>
        <v>0</v>
      </c>
      <c r="P332" s="151">
        <f t="shared" si="141"/>
        <v>0</v>
      </c>
      <c r="Q332" s="151">
        <f t="shared" si="141"/>
        <v>0</v>
      </c>
      <c r="R332" s="151">
        <f t="shared" si="141"/>
        <v>0</v>
      </c>
      <c r="S332" s="151">
        <f t="shared" si="141"/>
        <v>0</v>
      </c>
      <c r="T332" s="151">
        <f t="shared" si="141"/>
        <v>0</v>
      </c>
      <c r="U332" s="151">
        <f t="shared" si="141"/>
        <v>0</v>
      </c>
      <c r="V332" s="151">
        <f t="shared" si="141"/>
        <v>0</v>
      </c>
      <c r="W332" s="151">
        <f t="shared" si="141"/>
        <v>0</v>
      </c>
      <c r="X332" s="151">
        <f t="shared" si="141"/>
        <v>0</v>
      </c>
      <c r="Y332" s="151">
        <f t="shared" si="141"/>
        <v>0</v>
      </c>
      <c r="Z332" s="151">
        <f t="shared" si="141"/>
        <v>0</v>
      </c>
    </row>
    <row r="333" spans="2:26" x14ac:dyDescent="0.35">
      <c r="B333" s="33" t="s">
        <v>80</v>
      </c>
      <c r="D333" s="48">
        <f t="shared" si="138"/>
        <v>0</v>
      </c>
      <c r="E333" s="48"/>
      <c r="F333" s="151">
        <v>0</v>
      </c>
      <c r="G333" s="151">
        <v>0</v>
      </c>
      <c r="H333" s="151">
        <v>0</v>
      </c>
      <c r="I333" s="151">
        <v>0</v>
      </c>
      <c r="J333" s="151">
        <v>0</v>
      </c>
      <c r="K333" s="151">
        <v>0</v>
      </c>
      <c r="L333" s="151">
        <v>0</v>
      </c>
      <c r="M333" s="151">
        <v>0</v>
      </c>
      <c r="N333" s="151">
        <v>0</v>
      </c>
      <c r="O333" s="151">
        <v>0</v>
      </c>
      <c r="P333" s="151">
        <v>0</v>
      </c>
      <c r="Q333" s="151">
        <v>0</v>
      </c>
      <c r="R333" s="151">
        <v>0</v>
      </c>
      <c r="S333" s="151">
        <v>0</v>
      </c>
      <c r="T333" s="151">
        <v>0</v>
      </c>
      <c r="U333" s="151">
        <v>0</v>
      </c>
      <c r="V333" s="151">
        <v>0</v>
      </c>
      <c r="W333" s="151">
        <v>0</v>
      </c>
      <c r="X333" s="151">
        <v>0</v>
      </c>
      <c r="Y333" s="151">
        <v>0</v>
      </c>
      <c r="Z333" s="151">
        <v>0</v>
      </c>
    </row>
    <row r="334" spans="2:26" x14ac:dyDescent="0.35">
      <c r="B334" s="33" t="s">
        <v>83</v>
      </c>
      <c r="D334" s="48">
        <f t="shared" ca="1" si="138"/>
        <v>791069.26670236117</v>
      </c>
      <c r="E334" s="48"/>
      <c r="F334" s="151">
        <f t="shared" ref="F334:Z334" si="142">+F290</f>
        <v>0</v>
      </c>
      <c r="G334" s="151">
        <f t="shared" ca="1" si="142"/>
        <v>395534.63335118059</v>
      </c>
      <c r="H334" s="151">
        <f t="shared" ca="1" si="142"/>
        <v>395534.63335118059</v>
      </c>
      <c r="I334" s="151">
        <f t="shared" si="142"/>
        <v>0</v>
      </c>
      <c r="J334" s="151">
        <f t="shared" si="142"/>
        <v>0</v>
      </c>
      <c r="K334" s="151">
        <f t="shared" si="142"/>
        <v>0</v>
      </c>
      <c r="L334" s="151">
        <f t="shared" si="142"/>
        <v>0</v>
      </c>
      <c r="M334" s="151">
        <f t="shared" si="142"/>
        <v>0</v>
      </c>
      <c r="N334" s="151">
        <f t="shared" si="142"/>
        <v>0</v>
      </c>
      <c r="O334" s="151">
        <f t="shared" si="142"/>
        <v>0</v>
      </c>
      <c r="P334" s="151">
        <f t="shared" si="142"/>
        <v>0</v>
      </c>
      <c r="Q334" s="151">
        <f t="shared" si="142"/>
        <v>0</v>
      </c>
      <c r="R334" s="151">
        <f t="shared" si="142"/>
        <v>0</v>
      </c>
      <c r="S334" s="151">
        <f t="shared" si="142"/>
        <v>0</v>
      </c>
      <c r="T334" s="151">
        <f t="shared" si="142"/>
        <v>0</v>
      </c>
      <c r="U334" s="151">
        <f t="shared" si="142"/>
        <v>0</v>
      </c>
      <c r="V334" s="151">
        <f t="shared" si="142"/>
        <v>0</v>
      </c>
      <c r="W334" s="151">
        <f t="shared" si="142"/>
        <v>0</v>
      </c>
      <c r="X334" s="151">
        <f t="shared" si="142"/>
        <v>0</v>
      </c>
      <c r="Y334" s="151">
        <f t="shared" si="142"/>
        <v>0</v>
      </c>
      <c r="Z334" s="151">
        <f t="shared" si="142"/>
        <v>0</v>
      </c>
    </row>
    <row r="335" spans="2:26" x14ac:dyDescent="0.35">
      <c r="B335" s="33" t="s">
        <v>60</v>
      </c>
      <c r="D335" s="48">
        <f t="shared" ca="1" si="138"/>
        <v>11196868.616116071</v>
      </c>
      <c r="E335" s="48"/>
      <c r="F335" s="151">
        <f t="shared" ref="F335:Z335" ca="1" si="143">+F291</f>
        <v>0</v>
      </c>
      <c r="G335" s="151">
        <f t="shared" ca="1" si="143"/>
        <v>2799217.1540290178</v>
      </c>
      <c r="H335" s="151">
        <f t="shared" ca="1" si="143"/>
        <v>2799217.1540290178</v>
      </c>
      <c r="I335" s="151">
        <f t="shared" ca="1" si="143"/>
        <v>2799217.1540290178</v>
      </c>
      <c r="J335" s="151">
        <f t="shared" ca="1" si="143"/>
        <v>2799217.1540290178</v>
      </c>
      <c r="K335" s="151">
        <f t="shared" si="143"/>
        <v>0</v>
      </c>
      <c r="L335" s="151">
        <f t="shared" si="143"/>
        <v>0</v>
      </c>
      <c r="M335" s="151">
        <f t="shared" si="143"/>
        <v>0</v>
      </c>
      <c r="N335" s="151">
        <f t="shared" si="143"/>
        <v>0</v>
      </c>
      <c r="O335" s="151">
        <f t="shared" si="143"/>
        <v>0</v>
      </c>
      <c r="P335" s="151">
        <f t="shared" si="143"/>
        <v>0</v>
      </c>
      <c r="Q335" s="151">
        <f t="shared" si="143"/>
        <v>0</v>
      </c>
      <c r="R335" s="151">
        <f t="shared" si="143"/>
        <v>0</v>
      </c>
      <c r="S335" s="151">
        <f t="shared" si="143"/>
        <v>0</v>
      </c>
      <c r="T335" s="151">
        <f t="shared" si="143"/>
        <v>0</v>
      </c>
      <c r="U335" s="151">
        <f t="shared" si="143"/>
        <v>0</v>
      </c>
      <c r="V335" s="151">
        <f t="shared" si="143"/>
        <v>0</v>
      </c>
      <c r="W335" s="151">
        <f t="shared" si="143"/>
        <v>0</v>
      </c>
      <c r="X335" s="151">
        <f t="shared" si="143"/>
        <v>0</v>
      </c>
      <c r="Y335" s="151">
        <f t="shared" si="143"/>
        <v>0</v>
      </c>
      <c r="Z335" s="151">
        <f t="shared" si="143"/>
        <v>0</v>
      </c>
    </row>
    <row r="336" spans="2:26" x14ac:dyDescent="0.35">
      <c r="B336" s="138" t="s">
        <v>20</v>
      </c>
      <c r="C336" s="138"/>
      <c r="D336" s="139">
        <f ca="1">+SUM(F336:Z336)</f>
        <v>365966657.35922146</v>
      </c>
      <c r="E336" s="139"/>
      <c r="F336" s="139">
        <f ca="1">+SUM(F329:F335)</f>
        <v>52170014.936448134</v>
      </c>
      <c r="G336" s="139">
        <f t="shared" ref="G336:Z336" ca="1" si="144">+SUM(G329:G335)</f>
        <v>154099104.05735764</v>
      </c>
      <c r="H336" s="139">
        <f t="shared" ca="1" si="144"/>
        <v>154099104.05735764</v>
      </c>
      <c r="I336" s="139">
        <f t="shared" ca="1" si="144"/>
        <v>2799217.1540290178</v>
      </c>
      <c r="J336" s="139">
        <f t="shared" ca="1" si="144"/>
        <v>2799217.1540290178</v>
      </c>
      <c r="K336" s="139">
        <f t="shared" si="144"/>
        <v>0</v>
      </c>
      <c r="L336" s="139">
        <f t="shared" si="144"/>
        <v>0</v>
      </c>
      <c r="M336" s="139">
        <f t="shared" si="144"/>
        <v>0</v>
      </c>
      <c r="N336" s="139">
        <f t="shared" si="144"/>
        <v>0</v>
      </c>
      <c r="O336" s="139">
        <f t="shared" si="144"/>
        <v>0</v>
      </c>
      <c r="P336" s="139">
        <f t="shared" si="144"/>
        <v>0</v>
      </c>
      <c r="Q336" s="139">
        <f t="shared" si="144"/>
        <v>0</v>
      </c>
      <c r="R336" s="139">
        <f t="shared" si="144"/>
        <v>0</v>
      </c>
      <c r="S336" s="139">
        <f t="shared" si="144"/>
        <v>0</v>
      </c>
      <c r="T336" s="139">
        <f t="shared" si="144"/>
        <v>0</v>
      </c>
      <c r="U336" s="139">
        <f t="shared" si="144"/>
        <v>0</v>
      </c>
      <c r="V336" s="139">
        <f t="shared" si="144"/>
        <v>0</v>
      </c>
      <c r="W336" s="139">
        <f t="shared" si="144"/>
        <v>0</v>
      </c>
      <c r="X336" s="139">
        <f t="shared" si="144"/>
        <v>0</v>
      </c>
      <c r="Y336" s="139">
        <f t="shared" si="144"/>
        <v>0</v>
      </c>
      <c r="Z336" s="139">
        <f t="shared" si="144"/>
        <v>0</v>
      </c>
    </row>
    <row r="338" spans="2:26" x14ac:dyDescent="0.35">
      <c r="B338" s="148" t="s">
        <v>353</v>
      </c>
      <c r="F338" s="150">
        <f t="shared" ref="F338" si="145">+F$294</f>
        <v>45657</v>
      </c>
      <c r="G338" s="150">
        <f>+EOMONTH(F338,12)</f>
        <v>46022</v>
      </c>
      <c r="H338" s="150">
        <f t="shared" ref="H338:Z338" si="146">+EOMONTH(G338,12)</f>
        <v>46387</v>
      </c>
      <c r="I338" s="150">
        <f t="shared" si="146"/>
        <v>46752</v>
      </c>
      <c r="J338" s="150">
        <f t="shared" si="146"/>
        <v>47118</v>
      </c>
      <c r="K338" s="150">
        <f t="shared" si="146"/>
        <v>47483</v>
      </c>
      <c r="L338" s="150">
        <f t="shared" si="146"/>
        <v>47848</v>
      </c>
      <c r="M338" s="150">
        <f t="shared" si="146"/>
        <v>48213</v>
      </c>
      <c r="N338" s="150">
        <f t="shared" si="146"/>
        <v>48579</v>
      </c>
      <c r="O338" s="150">
        <f t="shared" si="146"/>
        <v>48944</v>
      </c>
      <c r="P338" s="150">
        <f t="shared" si="146"/>
        <v>49309</v>
      </c>
      <c r="Q338" s="150">
        <f t="shared" si="146"/>
        <v>49674</v>
      </c>
      <c r="R338" s="150">
        <f t="shared" si="146"/>
        <v>50040</v>
      </c>
      <c r="S338" s="150">
        <f t="shared" si="146"/>
        <v>50405</v>
      </c>
      <c r="T338" s="150">
        <f t="shared" si="146"/>
        <v>50770</v>
      </c>
      <c r="U338" s="150">
        <f t="shared" si="146"/>
        <v>51135</v>
      </c>
      <c r="V338" s="150">
        <f t="shared" si="146"/>
        <v>51501</v>
      </c>
      <c r="W338" s="150">
        <f t="shared" si="146"/>
        <v>51866</v>
      </c>
      <c r="X338" s="150">
        <f t="shared" si="146"/>
        <v>52231</v>
      </c>
      <c r="Y338" s="150">
        <f t="shared" si="146"/>
        <v>52596</v>
      </c>
      <c r="Z338" s="150">
        <f t="shared" si="146"/>
        <v>52962</v>
      </c>
    </row>
    <row r="339" spans="2:26" x14ac:dyDescent="0.35">
      <c r="B339" s="33" t="s">
        <v>29</v>
      </c>
      <c r="D339" s="48">
        <f ca="1">+D336-SUM(D296:D298,D301)</f>
        <v>285529393.96911925</v>
      </c>
      <c r="E339" s="48"/>
      <c r="F339" s="34">
        <f ca="1">+MIN($D$339-SUM('Phase III Pro Forma'!$E339:E339),'Phase III Pro Forma'!F$336)</f>
        <v>52170014.936448134</v>
      </c>
      <c r="G339" s="34">
        <f ca="1">+MIN($D$339-SUM('Phase III Pro Forma'!$E339:F339),'Phase III Pro Forma'!G$336)</f>
        <v>154099104.05735764</v>
      </c>
      <c r="H339" s="34">
        <f ca="1">+MIN($D$339-SUM('Phase III Pro Forma'!$E339:G339),'Phase III Pro Forma'!H$336)</f>
        <v>79260274.975313485</v>
      </c>
      <c r="I339" s="34">
        <f ca="1">+MIN($D$339-SUM('Phase III Pro Forma'!$E339:H339),'Phase III Pro Forma'!I$336)</f>
        <v>0</v>
      </c>
      <c r="J339" s="34">
        <f ca="1">+MIN($D$339-SUM('Phase III Pro Forma'!$E339:I339),'Phase III Pro Forma'!J$336)</f>
        <v>0</v>
      </c>
      <c r="K339" s="34">
        <f ca="1">+MIN($D$339-SUM('Phase III Pro Forma'!$E339:J339),'Phase III Pro Forma'!K$336)</f>
        <v>0</v>
      </c>
      <c r="L339" s="34">
        <f ca="1">+MIN($D$339-SUM('Phase III Pro Forma'!$E339:K339),'Phase III Pro Forma'!L$336)</f>
        <v>0</v>
      </c>
      <c r="M339" s="34">
        <f ca="1">+MIN($D$339-SUM('Phase III Pro Forma'!$E339:L339),'Phase III Pro Forma'!M$336)</f>
        <v>0</v>
      </c>
      <c r="N339" s="34">
        <f ca="1">+MIN($D$339-SUM('Phase III Pro Forma'!$E339:M339),'Phase III Pro Forma'!N$336)</f>
        <v>0</v>
      </c>
      <c r="O339" s="34">
        <f ca="1">+MIN($D$339-SUM('Phase III Pro Forma'!$E339:N339),'Phase III Pro Forma'!O$336)</f>
        <v>0</v>
      </c>
      <c r="P339" s="34">
        <f ca="1">+MIN($D$339-SUM('Phase III Pro Forma'!$E339:O339),'Phase III Pro Forma'!P$336)</f>
        <v>0</v>
      </c>
      <c r="Q339" s="34">
        <f ca="1">+MIN($D$339-SUM('Phase III Pro Forma'!$E339:P339),'Phase III Pro Forma'!Q$336)</f>
        <v>0</v>
      </c>
      <c r="R339" s="34">
        <f ca="1">+MIN($D$339-SUM('Phase III Pro Forma'!$E339:Q339),'Phase III Pro Forma'!R$336)</f>
        <v>0</v>
      </c>
      <c r="S339" s="34">
        <f ca="1">+MIN($D$339-SUM('Phase III Pro Forma'!$E339:R339),'Phase III Pro Forma'!S$336)</f>
        <v>0</v>
      </c>
      <c r="T339" s="34">
        <f ca="1">+MIN($D$339-SUM('Phase III Pro Forma'!$E339:S339),'Phase III Pro Forma'!T$336)</f>
        <v>0</v>
      </c>
      <c r="U339" s="34">
        <f ca="1">+MIN($D$339-SUM('Phase III Pro Forma'!$E339:T339),'Phase III Pro Forma'!U$336)</f>
        <v>0</v>
      </c>
      <c r="V339" s="34">
        <f ca="1">+MIN($D$339-SUM('Phase III Pro Forma'!$E339:U339),'Phase III Pro Forma'!V$336)</f>
        <v>0</v>
      </c>
      <c r="W339" s="34">
        <f ca="1">+MIN($D$339-SUM('Phase III Pro Forma'!$E339:V339),'Phase III Pro Forma'!W$336)</f>
        <v>0</v>
      </c>
      <c r="X339" s="34">
        <f ca="1">+MIN($D$339-SUM('Phase III Pro Forma'!$E339:W339),'Phase III Pro Forma'!X$336)</f>
        <v>0</v>
      </c>
      <c r="Y339" s="34">
        <f ca="1">+MIN($D$339-SUM('Phase III Pro Forma'!$E339:X339),'Phase III Pro Forma'!Y$336)</f>
        <v>0</v>
      </c>
      <c r="Z339" s="34">
        <f ca="1">+MIN($D$339-SUM('Phase III Pro Forma'!$E339:Y339),'Phase III Pro Forma'!Z$336)</f>
        <v>0</v>
      </c>
    </row>
    <row r="340" spans="2:26" x14ac:dyDescent="0.35">
      <c r="B340" s="33" t="s">
        <v>332</v>
      </c>
      <c r="D340" s="48">
        <f t="shared" ref="D340:D346" ca="1" si="147">+SUM(F340:Z340)</f>
        <v>0</v>
      </c>
      <c r="E340" s="48"/>
      <c r="F340" s="151">
        <f ca="1">+MIN('S&amp;U'!$J19-SUM('Phase III Pro Forma'!$E340:E340),'Phase III Pro Forma'!F$336-SUM(F$339:F339))</f>
        <v>0</v>
      </c>
      <c r="G340" s="151">
        <f ca="1">+MIN('S&amp;U'!$J19-SUM('Phase III Pro Forma'!$E340:F340),'Phase III Pro Forma'!G$336-SUM(G$339:G339))</f>
        <v>0</v>
      </c>
      <c r="H340" s="151">
        <f ca="1">+MIN('S&amp;U'!$J19-SUM('Phase III Pro Forma'!$E340:G340),'Phase III Pro Forma'!H$336-SUM(H$339:H339))</f>
        <v>0</v>
      </c>
      <c r="I340" s="151">
        <f ca="1">+MIN('S&amp;U'!$J19-SUM('Phase III Pro Forma'!$E340:H340),'Phase III Pro Forma'!I$336-SUM(I$339:I339))</f>
        <v>0</v>
      </c>
      <c r="J340" s="151">
        <f ca="1">+MIN('S&amp;U'!$J19-SUM('Phase III Pro Forma'!$E340:I340),'Phase III Pro Forma'!J$336-SUM(J$339:J339))</f>
        <v>0</v>
      </c>
      <c r="K340" s="151">
        <f ca="1">+MIN('S&amp;U'!$J19-SUM('Phase III Pro Forma'!$E340:J340),'Phase III Pro Forma'!K$336-SUM(K$339:K339))</f>
        <v>0</v>
      </c>
      <c r="L340" s="151">
        <f ca="1">+MIN('S&amp;U'!$J19-SUM('Phase III Pro Forma'!$E340:K340),'Phase III Pro Forma'!L$336-SUM(L$339:L339))</f>
        <v>0</v>
      </c>
      <c r="M340" s="151">
        <f ca="1">+MIN('S&amp;U'!$J19-SUM('Phase III Pro Forma'!$E340:L340),'Phase III Pro Forma'!M$336-SUM(M$339:M339))</f>
        <v>0</v>
      </c>
      <c r="N340" s="151">
        <f ca="1">+MIN('S&amp;U'!$J19-SUM('Phase III Pro Forma'!$E340:M340),'Phase III Pro Forma'!N$336-SUM(N$339:N339))</f>
        <v>0</v>
      </c>
      <c r="O340" s="151">
        <f ca="1">+MIN('S&amp;U'!$J19-SUM('Phase III Pro Forma'!$E340:N340),'Phase III Pro Forma'!O$336-SUM(O$339:O339))</f>
        <v>0</v>
      </c>
      <c r="P340" s="151">
        <f ca="1">+MIN('S&amp;U'!$J19-SUM('Phase III Pro Forma'!$E340:O340),'Phase III Pro Forma'!P$336-SUM(P$339:P339))</f>
        <v>0</v>
      </c>
      <c r="Q340" s="151">
        <f ca="1">+MIN('S&amp;U'!$J19-SUM('Phase III Pro Forma'!$E340:P340),'Phase III Pro Forma'!Q$336-SUM(Q$339:Q339))</f>
        <v>0</v>
      </c>
      <c r="R340" s="151">
        <f ca="1">+MIN('S&amp;U'!$J19-SUM('Phase III Pro Forma'!$E340:Q340),'Phase III Pro Forma'!R$336-SUM(R$339:R339))</f>
        <v>0</v>
      </c>
      <c r="S340" s="151">
        <f ca="1">+MIN('S&amp;U'!$J19-SUM('Phase III Pro Forma'!$E340:R340),'Phase III Pro Forma'!S$336-SUM(S$339:S339))</f>
        <v>0</v>
      </c>
      <c r="T340" s="151">
        <f ca="1">+MIN('S&amp;U'!$J19-SUM('Phase III Pro Forma'!$E340:S340),'Phase III Pro Forma'!T$336-SUM(T$339:T339))</f>
        <v>0</v>
      </c>
      <c r="U340" s="151">
        <f ca="1">+MIN('S&amp;U'!$J19-SUM('Phase III Pro Forma'!$E340:T340),'Phase III Pro Forma'!U$336-SUM(U$339:U339))</f>
        <v>0</v>
      </c>
      <c r="V340" s="151">
        <f ca="1">+MIN('S&amp;U'!$J19-SUM('Phase III Pro Forma'!$E340:U340),'Phase III Pro Forma'!V$336-SUM(V$339:V339))</f>
        <v>0</v>
      </c>
      <c r="W340" s="151">
        <f ca="1">+MIN('S&amp;U'!$J19-SUM('Phase III Pro Forma'!$E340:V340),'Phase III Pro Forma'!W$336-SUM(W$339:W339))</f>
        <v>0</v>
      </c>
      <c r="X340" s="151">
        <f ca="1">+MIN('S&amp;U'!$J19-SUM('Phase III Pro Forma'!$E340:W340),'Phase III Pro Forma'!X$336-SUM(X$339:X339))</f>
        <v>0</v>
      </c>
      <c r="Y340" s="151">
        <f ca="1">+MIN('S&amp;U'!$J19-SUM('Phase III Pro Forma'!$E340:X340),'Phase III Pro Forma'!Y$336-SUM(Y$339:Y339))</f>
        <v>0</v>
      </c>
      <c r="Z340" s="151">
        <f ca="1">+MIN('S&amp;U'!$J19-SUM('Phase III Pro Forma'!$E340:Y340),'Phase III Pro Forma'!Z$336-SUM(Z$339:Z339))</f>
        <v>0</v>
      </c>
    </row>
    <row r="341" spans="2:26" x14ac:dyDescent="0.35">
      <c r="B341" s="33" t="s">
        <v>99</v>
      </c>
      <c r="D341" s="48">
        <f t="shared" ca="1" si="147"/>
        <v>10625026.803841824</v>
      </c>
      <c r="E341" s="48"/>
      <c r="F341" s="151">
        <f ca="1">+MIN('S&amp;U'!$J20-SUM('Phase III Pro Forma'!$E341:E341),'Phase III Pro Forma'!F$336-SUM(F$339:F340))</f>
        <v>0</v>
      </c>
      <c r="G341" s="151">
        <f ca="1">+MIN('S&amp;U'!$J20-SUM('Phase III Pro Forma'!$E341:F341),'Phase III Pro Forma'!G$336-SUM(G$339:G340))</f>
        <v>0</v>
      </c>
      <c r="H341" s="151">
        <f ca="1">+MIN('S&amp;U'!$J20-SUM('Phase III Pro Forma'!$E341:G341),'Phase III Pro Forma'!H$336-SUM(H$339:H340))</f>
        <v>10625026.803841824</v>
      </c>
      <c r="I341" s="151">
        <f ca="1">+MIN('S&amp;U'!$J20-SUM('Phase III Pro Forma'!$E341:H341),'Phase III Pro Forma'!I$336-SUM(I$339:I340))</f>
        <v>0</v>
      </c>
      <c r="J341" s="151">
        <f ca="1">+MIN('S&amp;U'!$J20-SUM('Phase III Pro Forma'!$E341:I341),'Phase III Pro Forma'!J$336-SUM(J$339:J340))</f>
        <v>0</v>
      </c>
      <c r="K341" s="151">
        <f ca="1">+MIN('S&amp;U'!$J20-SUM('Phase III Pro Forma'!$E341:J341),'Phase III Pro Forma'!K$336-SUM(K$339:K340))</f>
        <v>0</v>
      </c>
      <c r="L341" s="151">
        <f ca="1">+MIN('S&amp;U'!$J20-SUM('Phase III Pro Forma'!$E341:K341),'Phase III Pro Forma'!L$336-SUM(L$339:L340))</f>
        <v>0</v>
      </c>
      <c r="M341" s="151">
        <f ca="1">+MIN('S&amp;U'!$J20-SUM('Phase III Pro Forma'!$E341:L341),'Phase III Pro Forma'!M$336-SUM(M$339:M340))</f>
        <v>0</v>
      </c>
      <c r="N341" s="151">
        <f ca="1">+MIN('S&amp;U'!$J20-SUM('Phase III Pro Forma'!$E341:M341),'Phase III Pro Forma'!N$336-SUM(N$339:N340))</f>
        <v>0</v>
      </c>
      <c r="O341" s="151">
        <f ca="1">+MIN('S&amp;U'!$J20-SUM('Phase III Pro Forma'!$E341:N341),'Phase III Pro Forma'!O$336-SUM(O$339:O340))</f>
        <v>0</v>
      </c>
      <c r="P341" s="151">
        <f ca="1">+MIN('S&amp;U'!$J20-SUM('Phase III Pro Forma'!$E341:O341),'Phase III Pro Forma'!P$336-SUM(P$339:P340))</f>
        <v>0</v>
      </c>
      <c r="Q341" s="151">
        <f ca="1">+MIN('S&amp;U'!$J20-SUM('Phase III Pro Forma'!$E341:P341),'Phase III Pro Forma'!Q$336-SUM(Q$339:Q340))</f>
        <v>0</v>
      </c>
      <c r="R341" s="151">
        <f ca="1">+MIN('S&amp;U'!$J20-SUM('Phase III Pro Forma'!$E341:Q341),'Phase III Pro Forma'!R$336-SUM(R$339:R340))</f>
        <v>0</v>
      </c>
      <c r="S341" s="151">
        <f ca="1">+MIN('S&amp;U'!$J20-SUM('Phase III Pro Forma'!$E341:R341),'Phase III Pro Forma'!S$336-SUM(S$339:S340))</f>
        <v>0</v>
      </c>
      <c r="T341" s="151">
        <f ca="1">+MIN('S&amp;U'!$J20-SUM('Phase III Pro Forma'!$E341:S341),'Phase III Pro Forma'!T$336-SUM(T$339:T340))</f>
        <v>0</v>
      </c>
      <c r="U341" s="151">
        <f ca="1">+MIN('S&amp;U'!$J20-SUM('Phase III Pro Forma'!$E341:T341),'Phase III Pro Forma'!U$336-SUM(U$339:U340))</f>
        <v>0</v>
      </c>
      <c r="V341" s="151">
        <f ca="1">+MIN('S&amp;U'!$J20-SUM('Phase III Pro Forma'!$E341:U341),'Phase III Pro Forma'!V$336-SUM(V$339:V340))</f>
        <v>0</v>
      </c>
      <c r="W341" s="151">
        <f ca="1">+MIN('S&amp;U'!$J20-SUM('Phase III Pro Forma'!$E341:V341),'Phase III Pro Forma'!W$336-SUM(W$339:W340))</f>
        <v>0</v>
      </c>
      <c r="X341" s="151">
        <f ca="1">+MIN('S&amp;U'!$J20-SUM('Phase III Pro Forma'!$E341:W341),'Phase III Pro Forma'!X$336-SUM(X$339:X340))</f>
        <v>0</v>
      </c>
      <c r="Y341" s="151">
        <f ca="1">+MIN('S&amp;U'!$J20-SUM('Phase III Pro Forma'!$E341:X341),'Phase III Pro Forma'!Y$336-SUM(Y$339:Y340))</f>
        <v>0</v>
      </c>
      <c r="Z341" s="151">
        <f ca="1">+MIN('S&amp;U'!$J20-SUM('Phase III Pro Forma'!$E341:Y341),'Phase III Pro Forma'!Z$336-SUM(Z$339:Z340))</f>
        <v>0</v>
      </c>
    </row>
    <row r="342" spans="2:26" x14ac:dyDescent="0.35">
      <c r="B342" s="33" t="s">
        <v>100</v>
      </c>
      <c r="D342" s="48">
        <f t="shared" ca="1" si="147"/>
        <v>5538000</v>
      </c>
      <c r="E342" s="48"/>
      <c r="F342" s="151">
        <f ca="1">+MIN('S&amp;U'!$J21-SUM('Phase III Pro Forma'!$E342:E342),'Phase III Pro Forma'!F$336-SUM(F$339:F341))</f>
        <v>0</v>
      </c>
      <c r="G342" s="151">
        <f ca="1">+MIN('S&amp;U'!$J21-SUM('Phase III Pro Forma'!$E342:F342),'Phase III Pro Forma'!G$336-SUM(G$339:G341))</f>
        <v>0</v>
      </c>
      <c r="H342" s="151">
        <f ca="1">+MIN('S&amp;U'!$J21-SUM('Phase III Pro Forma'!$E342:G342),'Phase III Pro Forma'!H$336-SUM(H$339:H341))</f>
        <v>5538000</v>
      </c>
      <c r="I342" s="151">
        <f ca="1">+MIN('S&amp;U'!$J21-SUM('Phase III Pro Forma'!$E342:H342),'Phase III Pro Forma'!I$336-SUM(I$339:I341))</f>
        <v>0</v>
      </c>
      <c r="J342" s="151">
        <f ca="1">+MIN('S&amp;U'!$J21-SUM('Phase III Pro Forma'!$E342:I342),'Phase III Pro Forma'!J$336-SUM(J$339:J341))</f>
        <v>0</v>
      </c>
      <c r="K342" s="151">
        <f ca="1">+MIN('S&amp;U'!$J21-SUM('Phase III Pro Forma'!$E342:J342),'Phase III Pro Forma'!K$336-SUM(K$339:K341))</f>
        <v>0</v>
      </c>
      <c r="L342" s="151">
        <f ca="1">+MIN('S&amp;U'!$J21-SUM('Phase III Pro Forma'!$E342:K342),'Phase III Pro Forma'!L$336-SUM(L$339:L341))</f>
        <v>0</v>
      </c>
      <c r="M342" s="151">
        <f ca="1">+MIN('S&amp;U'!$J21-SUM('Phase III Pro Forma'!$E342:L342),'Phase III Pro Forma'!M$336-SUM(M$339:M341))</f>
        <v>0</v>
      </c>
      <c r="N342" s="151">
        <f ca="1">+MIN('S&amp;U'!$J21-SUM('Phase III Pro Forma'!$E342:M342),'Phase III Pro Forma'!N$336-SUM(N$339:N341))</f>
        <v>0</v>
      </c>
      <c r="O342" s="151">
        <f ca="1">+MIN('S&amp;U'!$J21-SUM('Phase III Pro Forma'!$E342:N342),'Phase III Pro Forma'!O$336-SUM(O$339:O341))</f>
        <v>0</v>
      </c>
      <c r="P342" s="151">
        <f ca="1">+MIN('S&amp;U'!$J21-SUM('Phase III Pro Forma'!$E342:O342),'Phase III Pro Forma'!P$336-SUM(P$339:P341))</f>
        <v>0</v>
      </c>
      <c r="Q342" s="151">
        <f ca="1">+MIN('S&amp;U'!$J21-SUM('Phase III Pro Forma'!$E342:P342),'Phase III Pro Forma'!Q$336-SUM(Q$339:Q341))</f>
        <v>0</v>
      </c>
      <c r="R342" s="151">
        <f ca="1">+MIN('S&amp;U'!$J21-SUM('Phase III Pro Forma'!$E342:Q342),'Phase III Pro Forma'!R$336-SUM(R$339:R341))</f>
        <v>0</v>
      </c>
      <c r="S342" s="151">
        <f ca="1">+MIN('S&amp;U'!$J21-SUM('Phase III Pro Forma'!$E342:R342),'Phase III Pro Forma'!S$336-SUM(S$339:S341))</f>
        <v>0</v>
      </c>
      <c r="T342" s="151">
        <f ca="1">+MIN('S&amp;U'!$J21-SUM('Phase III Pro Forma'!$E342:S342),'Phase III Pro Forma'!T$336-SUM(T$339:T341))</f>
        <v>0</v>
      </c>
      <c r="U342" s="151">
        <f ca="1">+MIN('S&amp;U'!$J21-SUM('Phase III Pro Forma'!$E342:T342),'Phase III Pro Forma'!U$336-SUM(U$339:U341))</f>
        <v>0</v>
      </c>
      <c r="V342" s="151">
        <f ca="1">+MIN('S&amp;U'!$J21-SUM('Phase III Pro Forma'!$E342:U342),'Phase III Pro Forma'!V$336-SUM(V$339:V341))</f>
        <v>0</v>
      </c>
      <c r="W342" s="151">
        <f ca="1">+MIN('S&amp;U'!$J21-SUM('Phase III Pro Forma'!$E342:V342),'Phase III Pro Forma'!W$336-SUM(W$339:W341))</f>
        <v>0</v>
      </c>
      <c r="X342" s="151">
        <f ca="1">+MIN('S&amp;U'!$J21-SUM('Phase III Pro Forma'!$E342:W342),'Phase III Pro Forma'!X$336-SUM(X$339:X341))</f>
        <v>0</v>
      </c>
      <c r="Y342" s="151">
        <f ca="1">+MIN('S&amp;U'!$J21-SUM('Phase III Pro Forma'!$E342:X342),'Phase III Pro Forma'!Y$336-SUM(Y$339:Y341))</f>
        <v>0</v>
      </c>
      <c r="Z342" s="151">
        <f ca="1">+MIN('S&amp;U'!$J21-SUM('Phase III Pro Forma'!$E342:Y342),'Phase III Pro Forma'!Z$336-SUM(Z$339:Z341))</f>
        <v>0</v>
      </c>
    </row>
    <row r="343" spans="2:26" x14ac:dyDescent="0.35">
      <c r="B343" s="33" t="s">
        <v>620</v>
      </c>
      <c r="D343" s="48">
        <f t="shared" ref="D343" ca="1" si="148">+SUM(F343:Z343)</f>
        <v>0</v>
      </c>
      <c r="E343" s="48"/>
      <c r="F343" s="151">
        <f ca="1">+MIN('S&amp;U'!$J22-SUM('Phase III Pro Forma'!$E343:E343),'Phase III Pro Forma'!F$336-SUM(F$339:F342))</f>
        <v>0</v>
      </c>
      <c r="G343" s="151">
        <f ca="1">+MIN('S&amp;U'!$J22-SUM('Phase III Pro Forma'!$E343:F343),'Phase III Pro Forma'!G$336-SUM(G$339:G342))</f>
        <v>0</v>
      </c>
      <c r="H343" s="151">
        <f ca="1">+MIN('S&amp;U'!$J22-SUM('Phase III Pro Forma'!$E343:G343),'Phase III Pro Forma'!H$336-SUM(H$339:H342))</f>
        <v>0</v>
      </c>
      <c r="I343" s="151">
        <f ca="1">+MIN('S&amp;U'!$J22-SUM('Phase III Pro Forma'!$E343:H343),'Phase III Pro Forma'!I$336-SUM(I$339:I342))</f>
        <v>0</v>
      </c>
      <c r="J343" s="151">
        <f ca="1">+MIN('S&amp;U'!$J22-SUM('Phase III Pro Forma'!$E343:I343),'Phase III Pro Forma'!J$336-SUM(J$339:J342))</f>
        <v>0</v>
      </c>
      <c r="K343" s="151">
        <f ca="1">+MIN('S&amp;U'!$J22-SUM('Phase III Pro Forma'!$E343:J343),'Phase III Pro Forma'!K$336-SUM(K$339:K342))</f>
        <v>0</v>
      </c>
      <c r="L343" s="151">
        <f ca="1">+MIN('S&amp;U'!$J22-SUM('Phase III Pro Forma'!$E343:K343),'Phase III Pro Forma'!L$336-SUM(L$339:L342))</f>
        <v>0</v>
      </c>
      <c r="M343" s="151">
        <f ca="1">+MIN('S&amp;U'!$J22-SUM('Phase III Pro Forma'!$E343:L343),'Phase III Pro Forma'!M$336-SUM(M$339:M342))</f>
        <v>0</v>
      </c>
      <c r="N343" s="151">
        <f ca="1">+MIN('S&amp;U'!$J22-SUM('Phase III Pro Forma'!$E343:M343),'Phase III Pro Forma'!N$336-SUM(N$339:N342))</f>
        <v>0</v>
      </c>
      <c r="O343" s="151">
        <f ca="1">+MIN('S&amp;U'!$J22-SUM('Phase III Pro Forma'!$E343:N343),'Phase III Pro Forma'!O$336-SUM(O$339:O342))</f>
        <v>0</v>
      </c>
      <c r="P343" s="151">
        <f ca="1">+MIN('S&amp;U'!$J22-SUM('Phase III Pro Forma'!$E343:O343),'Phase III Pro Forma'!P$336-SUM(P$339:P342))</f>
        <v>0</v>
      </c>
      <c r="Q343" s="151">
        <f ca="1">+MIN('S&amp;U'!$J22-SUM('Phase III Pro Forma'!$E343:P343),'Phase III Pro Forma'!Q$336-SUM(Q$339:Q342))</f>
        <v>0</v>
      </c>
      <c r="R343" s="151">
        <f ca="1">+MIN('S&amp;U'!$J22-SUM('Phase III Pro Forma'!$E343:Q343),'Phase III Pro Forma'!R$336-SUM(R$339:R342))</f>
        <v>0</v>
      </c>
      <c r="S343" s="151">
        <f ca="1">+MIN('S&amp;U'!$J22-SUM('Phase III Pro Forma'!$E343:R343),'Phase III Pro Forma'!S$336-SUM(S$339:S342))</f>
        <v>0</v>
      </c>
      <c r="T343" s="151">
        <f ca="1">+MIN('S&amp;U'!$J22-SUM('Phase III Pro Forma'!$E343:S343),'Phase III Pro Forma'!T$336-SUM(T$339:T342))</f>
        <v>0</v>
      </c>
      <c r="U343" s="151">
        <f ca="1">+MIN('S&amp;U'!$J22-SUM('Phase III Pro Forma'!$E343:T343),'Phase III Pro Forma'!U$336-SUM(U$339:U342))</f>
        <v>0</v>
      </c>
      <c r="V343" s="151">
        <f ca="1">+MIN('S&amp;U'!$J22-SUM('Phase III Pro Forma'!$E343:U343),'Phase III Pro Forma'!V$336-SUM(V$339:V342))</f>
        <v>0</v>
      </c>
      <c r="W343" s="151">
        <f ca="1">+MIN('S&amp;U'!$J22-SUM('Phase III Pro Forma'!$E343:V343),'Phase III Pro Forma'!W$336-SUM(W$339:W342))</f>
        <v>0</v>
      </c>
      <c r="X343" s="151">
        <f ca="1">+MIN('S&amp;U'!$J22-SUM('Phase III Pro Forma'!$E343:W343),'Phase III Pro Forma'!X$336-SUM(X$339:X342))</f>
        <v>0</v>
      </c>
      <c r="Y343" s="151">
        <f ca="1">+MIN('S&amp;U'!$J22-SUM('Phase III Pro Forma'!$E343:X343),'Phase III Pro Forma'!Y$336-SUM(Y$339:Y342))</f>
        <v>0</v>
      </c>
      <c r="Z343" s="151">
        <f ca="1">+MIN('S&amp;U'!$J22-SUM('Phase III Pro Forma'!$E343:Y343),'Phase III Pro Forma'!Z$336-SUM(Z$339:Z342))</f>
        <v>0</v>
      </c>
    </row>
    <row r="344" spans="2:26" x14ac:dyDescent="0.35">
      <c r="B344" s="33" t="s">
        <v>336</v>
      </c>
      <c r="D344" s="48">
        <f t="shared" si="147"/>
        <v>0</v>
      </c>
      <c r="E344" s="48"/>
      <c r="F344" s="151">
        <v>0</v>
      </c>
      <c r="G344" s="151">
        <v>0</v>
      </c>
      <c r="H344" s="151">
        <v>0</v>
      </c>
      <c r="I344" s="151">
        <v>0</v>
      </c>
      <c r="J344" s="151">
        <v>0</v>
      </c>
      <c r="K344" s="151">
        <v>0</v>
      </c>
      <c r="L344" s="151">
        <v>0</v>
      </c>
      <c r="M344" s="151">
        <v>0</v>
      </c>
      <c r="N344" s="151">
        <v>0</v>
      </c>
      <c r="O344" s="151">
        <v>0</v>
      </c>
      <c r="P344" s="151">
        <v>0</v>
      </c>
      <c r="Q344" s="151">
        <v>0</v>
      </c>
      <c r="R344" s="151">
        <v>0</v>
      </c>
      <c r="S344" s="151">
        <v>0</v>
      </c>
      <c r="T344" s="151">
        <v>0</v>
      </c>
      <c r="U344" s="151">
        <v>0</v>
      </c>
      <c r="V344" s="151">
        <v>0</v>
      </c>
      <c r="W344" s="151">
        <v>0</v>
      </c>
      <c r="X344" s="151">
        <v>0</v>
      </c>
      <c r="Y344" s="151">
        <v>0</v>
      </c>
      <c r="Z344" s="151">
        <v>0</v>
      </c>
    </row>
    <row r="345" spans="2:26" x14ac:dyDescent="0.35">
      <c r="B345" s="33" t="s">
        <v>98</v>
      </c>
      <c r="D345" s="48">
        <f t="shared" ca="1" si="147"/>
        <v>64274236.586260304</v>
      </c>
      <c r="E345" s="48"/>
      <c r="F345" s="151">
        <f ca="1">+MIN('S&amp;U'!$J26-SUM('Phase III Pro Forma'!$E345:E345),'Phase III Pro Forma'!F$336-SUM(F$339:F344))</f>
        <v>0</v>
      </c>
      <c r="G345" s="151">
        <f ca="1">+MIN('S&amp;U'!$J26-SUM('Phase III Pro Forma'!$E345:F345),'Phase III Pro Forma'!G$336-SUM(G$339:G344))</f>
        <v>0</v>
      </c>
      <c r="H345" s="151">
        <f ca="1">+MIN('S&amp;U'!$J26-SUM('Phase III Pro Forma'!$E345:G345),'Phase III Pro Forma'!H$336-SUM(H$339:H344))</f>
        <v>58675802.278202325</v>
      </c>
      <c r="I345" s="151">
        <f ca="1">+MIN('S&amp;U'!$J26-SUM('Phase III Pro Forma'!$E345:H345),'Phase III Pro Forma'!I$336-SUM(I$339:I344))</f>
        <v>2799217.1540290178</v>
      </c>
      <c r="J345" s="151">
        <f ca="1">+MIN('S&amp;U'!$J26-SUM('Phase III Pro Forma'!$E345:I345),'Phase III Pro Forma'!J$336-SUM(J$339:J344))</f>
        <v>2799217.1540290178</v>
      </c>
      <c r="K345" s="151">
        <f ca="1">+MIN('S&amp;U'!$J26-SUM('Phase III Pro Forma'!$E345:J345),'Phase III Pro Forma'!K$336-SUM(K$339:K344))</f>
        <v>0</v>
      </c>
      <c r="L345" s="151">
        <f ca="1">+MIN('S&amp;U'!$J26-SUM('Phase III Pro Forma'!$E345:K345),'Phase III Pro Forma'!L$336-SUM(L$339:L344))</f>
        <v>0</v>
      </c>
      <c r="M345" s="151">
        <f ca="1">+MIN('S&amp;U'!$J26-SUM('Phase III Pro Forma'!$E345:L345),'Phase III Pro Forma'!M$336-SUM(M$339:M344))</f>
        <v>0</v>
      </c>
      <c r="N345" s="151">
        <f ca="1">+MIN('S&amp;U'!$J26-SUM('Phase III Pro Forma'!$E345:M345),'Phase III Pro Forma'!N$336-SUM(N$339:N344))</f>
        <v>0</v>
      </c>
      <c r="O345" s="151">
        <f ca="1">+MIN('S&amp;U'!$J26-SUM('Phase III Pro Forma'!$E345:N345),'Phase III Pro Forma'!O$336-SUM(O$339:O344))</f>
        <v>0</v>
      </c>
      <c r="P345" s="151">
        <f ca="1">+MIN('S&amp;U'!$J26-SUM('Phase III Pro Forma'!$E345:O345),'Phase III Pro Forma'!P$336-SUM(P$339:P344))</f>
        <v>0</v>
      </c>
      <c r="Q345" s="151">
        <f ca="1">+MIN('S&amp;U'!$J26-SUM('Phase III Pro Forma'!$E345:P345),'Phase III Pro Forma'!Q$336-SUM(Q$339:Q344))</f>
        <v>0</v>
      </c>
      <c r="R345" s="151">
        <f ca="1">+MIN('S&amp;U'!$J26-SUM('Phase III Pro Forma'!$E345:Q345),'Phase III Pro Forma'!R$336-SUM(R$339:R344))</f>
        <v>0</v>
      </c>
      <c r="S345" s="151">
        <f ca="1">+MIN('S&amp;U'!$J26-SUM('Phase III Pro Forma'!$E345:R345),'Phase III Pro Forma'!S$336-SUM(S$339:S344))</f>
        <v>0</v>
      </c>
      <c r="T345" s="151">
        <f ca="1">+MIN('S&amp;U'!$J26-SUM('Phase III Pro Forma'!$E345:S345),'Phase III Pro Forma'!T$336-SUM(T$339:T344))</f>
        <v>0</v>
      </c>
      <c r="U345" s="151">
        <f ca="1">+MIN('S&amp;U'!$J26-SUM('Phase III Pro Forma'!$E345:T345),'Phase III Pro Forma'!U$336-SUM(U$339:U344))</f>
        <v>0</v>
      </c>
      <c r="V345" s="151">
        <f ca="1">+MIN('S&amp;U'!$J26-SUM('Phase III Pro Forma'!$E345:U345),'Phase III Pro Forma'!V$336-SUM(V$339:V344))</f>
        <v>0</v>
      </c>
      <c r="W345" s="151">
        <f ca="1">+MIN('S&amp;U'!$J26-SUM('Phase III Pro Forma'!$E345:V345),'Phase III Pro Forma'!W$336-SUM(W$339:W344))</f>
        <v>0</v>
      </c>
      <c r="X345" s="151">
        <f ca="1">+MIN('S&amp;U'!$J26-SUM('Phase III Pro Forma'!$E345:W345),'Phase III Pro Forma'!X$336-SUM(X$339:X344))</f>
        <v>0</v>
      </c>
      <c r="Y345" s="151">
        <f ca="1">+MIN('S&amp;U'!$J26-SUM('Phase III Pro Forma'!$E345:X345),'Phase III Pro Forma'!Y$336-SUM(Y$339:Y344))</f>
        <v>0</v>
      </c>
      <c r="Z345" s="151">
        <f ca="1">+MIN('S&amp;U'!$J26-SUM('Phase III Pro Forma'!$E345:Y345),'Phase III Pro Forma'!Z$336-SUM(Z$339:Z344))</f>
        <v>0</v>
      </c>
    </row>
    <row r="346" spans="2:26" x14ac:dyDescent="0.35">
      <c r="B346" s="138" t="s">
        <v>383</v>
      </c>
      <c r="C346" s="138"/>
      <c r="D346" s="139">
        <f t="shared" ca="1" si="147"/>
        <v>365966657.35922146</v>
      </c>
      <c r="E346" s="139"/>
      <c r="F346" s="139">
        <f t="shared" ref="F346:Z346" ca="1" si="149">+SUM(F339:F345)</f>
        <v>52170014.936448134</v>
      </c>
      <c r="G346" s="139">
        <f t="shared" ca="1" si="149"/>
        <v>154099104.05735764</v>
      </c>
      <c r="H346" s="139">
        <f t="shared" ca="1" si="149"/>
        <v>154099104.05735764</v>
      </c>
      <c r="I346" s="139">
        <f t="shared" ca="1" si="149"/>
        <v>2799217.1540290178</v>
      </c>
      <c r="J346" s="139">
        <f t="shared" ca="1" si="149"/>
        <v>2799217.1540290178</v>
      </c>
      <c r="K346" s="139">
        <f t="shared" ca="1" si="149"/>
        <v>0</v>
      </c>
      <c r="L346" s="139">
        <f t="shared" ca="1" si="149"/>
        <v>0</v>
      </c>
      <c r="M346" s="139">
        <f t="shared" ca="1" si="149"/>
        <v>0</v>
      </c>
      <c r="N346" s="139">
        <f t="shared" ca="1" si="149"/>
        <v>0</v>
      </c>
      <c r="O346" s="139">
        <f t="shared" ca="1" si="149"/>
        <v>0</v>
      </c>
      <c r="P346" s="139">
        <f t="shared" ca="1" si="149"/>
        <v>0</v>
      </c>
      <c r="Q346" s="139">
        <f t="shared" ca="1" si="149"/>
        <v>0</v>
      </c>
      <c r="R346" s="139">
        <f t="shared" ca="1" si="149"/>
        <v>0</v>
      </c>
      <c r="S346" s="139">
        <f t="shared" ca="1" si="149"/>
        <v>0</v>
      </c>
      <c r="T346" s="139">
        <f t="shared" ca="1" si="149"/>
        <v>0</v>
      </c>
      <c r="U346" s="139">
        <f t="shared" ca="1" si="149"/>
        <v>0</v>
      </c>
      <c r="V346" s="139">
        <f t="shared" ca="1" si="149"/>
        <v>0</v>
      </c>
      <c r="W346" s="139">
        <f t="shared" ca="1" si="149"/>
        <v>0</v>
      </c>
      <c r="X346" s="139">
        <f t="shared" ca="1" si="149"/>
        <v>0</v>
      </c>
      <c r="Y346" s="139">
        <f t="shared" ca="1" si="149"/>
        <v>0</v>
      </c>
      <c r="Z346" s="139">
        <f t="shared" ca="1" si="149"/>
        <v>0</v>
      </c>
    </row>
    <row r="348" spans="2:26" x14ac:dyDescent="0.35">
      <c r="B348" s="148" t="s">
        <v>354</v>
      </c>
    </row>
    <row r="349" spans="2:26" x14ac:dyDescent="0.35">
      <c r="B349" s="33" t="s">
        <v>355</v>
      </c>
      <c r="D349" s="48">
        <f ca="1">+SUM(F349:Z349)</f>
        <v>-285529393.96911931</v>
      </c>
      <c r="E349" s="48"/>
      <c r="F349" s="34">
        <f ca="1">-F339</f>
        <v>-52170014.936448134</v>
      </c>
      <c r="G349" s="34">
        <f t="shared" ref="G349:Z349" ca="1" si="150">-G339</f>
        <v>-154099104.05735764</v>
      </c>
      <c r="H349" s="34">
        <f t="shared" ca="1" si="150"/>
        <v>-79260274.975313485</v>
      </c>
      <c r="I349" s="34">
        <f t="shared" ca="1" si="150"/>
        <v>0</v>
      </c>
      <c r="J349" s="34">
        <f t="shared" ca="1" si="150"/>
        <v>0</v>
      </c>
      <c r="K349" s="34">
        <f t="shared" ca="1" si="150"/>
        <v>0</v>
      </c>
      <c r="L349" s="34">
        <f t="shared" ca="1" si="150"/>
        <v>0</v>
      </c>
      <c r="M349" s="34">
        <f t="shared" ca="1" si="150"/>
        <v>0</v>
      </c>
      <c r="N349" s="34">
        <f t="shared" ca="1" si="150"/>
        <v>0</v>
      </c>
      <c r="O349" s="34">
        <f t="shared" ca="1" si="150"/>
        <v>0</v>
      </c>
      <c r="P349" s="34">
        <f t="shared" ca="1" si="150"/>
        <v>0</v>
      </c>
      <c r="Q349" s="34">
        <f t="shared" ca="1" si="150"/>
        <v>0</v>
      </c>
      <c r="R349" s="34">
        <f t="shared" ca="1" si="150"/>
        <v>0</v>
      </c>
      <c r="S349" s="34">
        <f t="shared" ca="1" si="150"/>
        <v>0</v>
      </c>
      <c r="T349" s="34">
        <f t="shared" ca="1" si="150"/>
        <v>0</v>
      </c>
      <c r="U349" s="34">
        <f t="shared" ca="1" si="150"/>
        <v>0</v>
      </c>
      <c r="V349" s="34">
        <f t="shared" ca="1" si="150"/>
        <v>0</v>
      </c>
      <c r="W349" s="34">
        <f t="shared" ca="1" si="150"/>
        <v>0</v>
      </c>
      <c r="X349" s="34">
        <f t="shared" ca="1" si="150"/>
        <v>0</v>
      </c>
      <c r="Y349" s="34">
        <f t="shared" ca="1" si="150"/>
        <v>0</v>
      </c>
      <c r="Z349" s="34">
        <f t="shared" ca="1" si="150"/>
        <v>0</v>
      </c>
    </row>
    <row r="350" spans="2:26" x14ac:dyDescent="0.35">
      <c r="B350" s="33" t="s">
        <v>356</v>
      </c>
      <c r="D350" s="48">
        <f t="shared" ref="D350" ca="1" si="151">+SUM(F350:Z350)</f>
        <v>547329760.79208982</v>
      </c>
      <c r="E350" s="48"/>
      <c r="F350" s="151">
        <f ca="1">+IF(YEAR(F$140)&lt;=YEAR(Assumptions!$H$30),F321+F326,0)</f>
        <v>0</v>
      </c>
      <c r="G350" s="151">
        <f ca="1">+IF(YEAR(G$140)&lt;=YEAR(Assumptions!$H$30),G321+G326,0)</f>
        <v>0</v>
      </c>
      <c r="H350" s="151">
        <f ca="1">+IF(YEAR(H$140)&lt;=YEAR(Assumptions!$H$30),H321+H326,0)</f>
        <v>0</v>
      </c>
      <c r="I350" s="151">
        <f ca="1">+IF(YEAR(I$140)&lt;=YEAR(Assumptions!$H$30),I321+I326,0)</f>
        <v>12808687.546966918</v>
      </c>
      <c r="J350" s="151">
        <f ca="1">+IF(YEAR(J$140)&lt;=YEAR(Assumptions!$H$30),J321+J326,0)</f>
        <v>25878867.695486184</v>
      </c>
      <c r="K350" s="151">
        <f ca="1">+IF(YEAR(K$140)&lt;=YEAR(Assumptions!$H$30),K321+K326,0)</f>
        <v>26161641.979331724</v>
      </c>
      <c r="L350" s="151">
        <f ca="1">+IF(YEAR(L$140)&lt;=YEAR(Assumptions!$H$30),L321+L326,0)</f>
        <v>482480563.57030499</v>
      </c>
      <c r="M350" s="151">
        <f>+IF(YEAR(M$140)&lt;=YEAR(Assumptions!$H$30),M321+M326,0)</f>
        <v>0</v>
      </c>
      <c r="N350" s="151">
        <f>+IF(YEAR(N$140)&lt;=YEAR(Assumptions!$H$30),N321+N326,0)</f>
        <v>0</v>
      </c>
      <c r="O350" s="151">
        <f>+IF(YEAR(O$140)&lt;=YEAR(Assumptions!$H$30),O321+O326,0)</f>
        <v>0</v>
      </c>
      <c r="P350" s="151">
        <f>+IF(YEAR(P$140)&lt;=YEAR(Assumptions!$H$30),P321+P326,0)</f>
        <v>0</v>
      </c>
      <c r="Q350" s="151">
        <f>+IF(YEAR(Q$140)&lt;=YEAR(Assumptions!$H$30),Q321+Q326,0)</f>
        <v>0</v>
      </c>
      <c r="R350" s="151">
        <f>+IF(YEAR(R$140)&lt;=YEAR(Assumptions!$H$30),R321+R326,0)</f>
        <v>0</v>
      </c>
      <c r="S350" s="151">
        <f>+IF(YEAR(S$140)&lt;=YEAR(Assumptions!$H$30),S321+S326,0)</f>
        <v>0</v>
      </c>
      <c r="T350" s="151">
        <f>+IF(YEAR(T$140)&lt;=YEAR(Assumptions!$H$30),T321+T326,0)</f>
        <v>0</v>
      </c>
      <c r="U350" s="151">
        <f>+IF(YEAR(U$140)&lt;=YEAR(Assumptions!$H$30),U321+U326,0)</f>
        <v>0</v>
      </c>
      <c r="V350" s="151">
        <f>+IF(YEAR(V$140)&lt;=YEAR(Assumptions!$H$30),V321+V326,0)</f>
        <v>0</v>
      </c>
      <c r="W350" s="151">
        <f>+IF(YEAR(W$140)&lt;=YEAR(Assumptions!$H$30),W321+W326,0)</f>
        <v>0</v>
      </c>
      <c r="X350" s="151">
        <f>+IF(YEAR(X$140)&lt;=YEAR(Assumptions!$H$30),X321+X326,0)</f>
        <v>0</v>
      </c>
      <c r="Y350" s="151">
        <f>+IF(YEAR(Y$140)&lt;=YEAR(Assumptions!$H$30),Y321+Y326,0)</f>
        <v>0</v>
      </c>
      <c r="Z350" s="151">
        <f>+IF(YEAR(Z$140)&lt;=YEAR(Assumptions!$H$30),Z321+Z326,0)</f>
        <v>0</v>
      </c>
    </row>
    <row r="351" spans="2:26" x14ac:dyDescent="0.35">
      <c r="B351" s="138" t="s">
        <v>357</v>
      </c>
      <c r="C351" s="138"/>
      <c r="D351" s="139">
        <f ca="1">+SUM(F351:Z351)</f>
        <v>261800366.82297051</v>
      </c>
      <c r="E351" s="139"/>
      <c r="F351" s="139">
        <f ca="1">+SUM(F349:F350)</f>
        <v>-52170014.936448134</v>
      </c>
      <c r="G351" s="139">
        <f t="shared" ref="G351:Z351" ca="1" si="152">+SUM(G349:G350)</f>
        <v>-154099104.05735764</v>
      </c>
      <c r="H351" s="139">
        <f t="shared" ca="1" si="152"/>
        <v>-79260274.975313485</v>
      </c>
      <c r="I351" s="139">
        <f t="shared" ca="1" si="152"/>
        <v>12808687.546966918</v>
      </c>
      <c r="J351" s="139">
        <f t="shared" ca="1" si="152"/>
        <v>25878867.695486184</v>
      </c>
      <c r="K351" s="139">
        <f t="shared" ca="1" si="152"/>
        <v>26161641.979331724</v>
      </c>
      <c r="L351" s="139">
        <f t="shared" ca="1" si="152"/>
        <v>482480563.57030499</v>
      </c>
      <c r="M351" s="139">
        <f t="shared" ca="1" si="152"/>
        <v>0</v>
      </c>
      <c r="N351" s="139">
        <f t="shared" ca="1" si="152"/>
        <v>0</v>
      </c>
      <c r="O351" s="139">
        <f t="shared" ca="1" si="152"/>
        <v>0</v>
      </c>
      <c r="P351" s="139">
        <f t="shared" ca="1" si="152"/>
        <v>0</v>
      </c>
      <c r="Q351" s="139">
        <f t="shared" ca="1" si="152"/>
        <v>0</v>
      </c>
      <c r="R351" s="139">
        <f t="shared" ca="1" si="152"/>
        <v>0</v>
      </c>
      <c r="S351" s="139">
        <f t="shared" ca="1" si="152"/>
        <v>0</v>
      </c>
      <c r="T351" s="139">
        <f t="shared" ca="1" si="152"/>
        <v>0</v>
      </c>
      <c r="U351" s="139">
        <f t="shared" ca="1" si="152"/>
        <v>0</v>
      </c>
      <c r="V351" s="139">
        <f t="shared" ca="1" si="152"/>
        <v>0</v>
      </c>
      <c r="W351" s="139">
        <f t="shared" ca="1" si="152"/>
        <v>0</v>
      </c>
      <c r="X351" s="139">
        <f t="shared" ca="1" si="152"/>
        <v>0</v>
      </c>
      <c r="Y351" s="139">
        <f t="shared" ca="1" si="152"/>
        <v>0</v>
      </c>
      <c r="Z351" s="139">
        <f t="shared" ca="1" si="152"/>
        <v>0</v>
      </c>
    </row>
    <row r="353" spans="2:26" x14ac:dyDescent="0.35">
      <c r="B353" s="190" t="s">
        <v>399</v>
      </c>
      <c r="C353" s="190"/>
      <c r="D353" s="191">
        <f ca="1">+IRR(F351:Z351)</f>
        <v>0.14871588484395204</v>
      </c>
    </row>
    <row r="354" spans="2:26" x14ac:dyDescent="0.35">
      <c r="B354" s="141" t="s">
        <v>359</v>
      </c>
      <c r="C354" s="192"/>
      <c r="D354" s="142">
        <f ca="1">+SUM(F351:Z351)</f>
        <v>261800366.82297057</v>
      </c>
    </row>
    <row r="355" spans="2:26" x14ac:dyDescent="0.35">
      <c r="B355" s="194" t="s">
        <v>360</v>
      </c>
      <c r="C355" s="193"/>
      <c r="D355" s="195">
        <f ca="1">+D350/-D349</f>
        <v>1.9168946257466046</v>
      </c>
    </row>
    <row r="357" spans="2:26" x14ac:dyDescent="0.35">
      <c r="B357" s="37" t="s">
        <v>417</v>
      </c>
      <c r="C357" s="38"/>
      <c r="D357" s="38"/>
      <c r="E357" s="38"/>
      <c r="F357" s="136">
        <f>+F338</f>
        <v>45657</v>
      </c>
      <c r="G357" s="136">
        <f t="shared" ref="G357:Z357" si="153">+G338</f>
        <v>46022</v>
      </c>
      <c r="H357" s="136">
        <f t="shared" si="153"/>
        <v>46387</v>
      </c>
      <c r="I357" s="136">
        <f t="shared" si="153"/>
        <v>46752</v>
      </c>
      <c r="J357" s="136">
        <f t="shared" si="153"/>
        <v>47118</v>
      </c>
      <c r="K357" s="136">
        <f t="shared" si="153"/>
        <v>47483</v>
      </c>
      <c r="L357" s="136">
        <f t="shared" si="153"/>
        <v>47848</v>
      </c>
      <c r="M357" s="136">
        <f t="shared" si="153"/>
        <v>48213</v>
      </c>
      <c r="N357" s="136">
        <f t="shared" si="153"/>
        <v>48579</v>
      </c>
      <c r="O357" s="136">
        <f t="shared" si="153"/>
        <v>48944</v>
      </c>
      <c r="P357" s="136">
        <f t="shared" si="153"/>
        <v>49309</v>
      </c>
      <c r="Q357" s="136">
        <f t="shared" si="153"/>
        <v>49674</v>
      </c>
      <c r="R357" s="136">
        <f t="shared" si="153"/>
        <v>50040</v>
      </c>
      <c r="S357" s="136">
        <f t="shared" si="153"/>
        <v>50405</v>
      </c>
      <c r="T357" s="136">
        <f t="shared" si="153"/>
        <v>50770</v>
      </c>
      <c r="U357" s="136">
        <f t="shared" si="153"/>
        <v>51135</v>
      </c>
      <c r="V357" s="136">
        <f t="shared" si="153"/>
        <v>51501</v>
      </c>
      <c r="W357" s="136">
        <f t="shared" si="153"/>
        <v>51866</v>
      </c>
      <c r="X357" s="136">
        <f t="shared" si="153"/>
        <v>52231</v>
      </c>
      <c r="Y357" s="136">
        <f t="shared" si="153"/>
        <v>52596</v>
      </c>
      <c r="Z357" s="136">
        <f t="shared" si="153"/>
        <v>52962</v>
      </c>
    </row>
    <row r="358" spans="2:26" x14ac:dyDescent="0.35">
      <c r="B358" s="119"/>
    </row>
    <row r="359" spans="2:26" x14ac:dyDescent="0.35">
      <c r="B359" s="148" t="s">
        <v>413</v>
      </c>
      <c r="F359" s="148">
        <v>0</v>
      </c>
      <c r="G359" s="148">
        <f>+F359+1</f>
        <v>1</v>
      </c>
      <c r="H359" s="148">
        <f t="shared" ref="H359:Z359" si="154">+G359+1</f>
        <v>2</v>
      </c>
      <c r="I359" s="148">
        <f t="shared" si="154"/>
        <v>3</v>
      </c>
      <c r="J359" s="148">
        <f t="shared" si="154"/>
        <v>4</v>
      </c>
      <c r="K359" s="148">
        <f t="shared" si="154"/>
        <v>5</v>
      </c>
      <c r="L359" s="148">
        <f t="shared" si="154"/>
        <v>6</v>
      </c>
      <c r="M359" s="148">
        <f t="shared" si="154"/>
        <v>7</v>
      </c>
      <c r="N359" s="148">
        <f t="shared" si="154"/>
        <v>8</v>
      </c>
      <c r="O359" s="148">
        <f t="shared" si="154"/>
        <v>9</v>
      </c>
      <c r="P359" s="148">
        <f t="shared" si="154"/>
        <v>10</v>
      </c>
      <c r="Q359" s="148">
        <f t="shared" si="154"/>
        <v>11</v>
      </c>
      <c r="R359" s="148">
        <f t="shared" si="154"/>
        <v>12</v>
      </c>
      <c r="S359" s="148">
        <f t="shared" si="154"/>
        <v>13</v>
      </c>
      <c r="T359" s="148">
        <f t="shared" si="154"/>
        <v>14</v>
      </c>
      <c r="U359" s="148">
        <f t="shared" si="154"/>
        <v>15</v>
      </c>
      <c r="V359" s="148">
        <f t="shared" si="154"/>
        <v>16</v>
      </c>
      <c r="W359" s="148">
        <f t="shared" si="154"/>
        <v>17</v>
      </c>
      <c r="X359" s="148">
        <f t="shared" si="154"/>
        <v>18</v>
      </c>
      <c r="Y359" s="148">
        <f t="shared" si="154"/>
        <v>19</v>
      </c>
      <c r="Z359" s="148">
        <f t="shared" si="154"/>
        <v>20</v>
      </c>
    </row>
    <row r="360" spans="2:26" x14ac:dyDescent="0.35">
      <c r="B360" s="33" t="s">
        <v>404</v>
      </c>
      <c r="D360" s="48"/>
      <c r="E360" s="48"/>
      <c r="F360" s="34">
        <f ca="1">+F$349</f>
        <v>-52170014.936448134</v>
      </c>
      <c r="G360" s="34">
        <f t="shared" ref="G360:Z360" ca="1" si="155">+G$349</f>
        <v>-154099104.05735764</v>
      </c>
      <c r="H360" s="34">
        <f t="shared" ca="1" si="155"/>
        <v>-79260274.975313485</v>
      </c>
      <c r="I360" s="34">
        <f t="shared" ca="1" si="155"/>
        <v>0</v>
      </c>
      <c r="J360" s="34">
        <f t="shared" ca="1" si="155"/>
        <v>0</v>
      </c>
      <c r="K360" s="34">
        <f t="shared" ca="1" si="155"/>
        <v>0</v>
      </c>
      <c r="L360" s="34">
        <f t="shared" ca="1" si="155"/>
        <v>0</v>
      </c>
      <c r="M360" s="34">
        <f t="shared" ca="1" si="155"/>
        <v>0</v>
      </c>
      <c r="N360" s="34">
        <f t="shared" ca="1" si="155"/>
        <v>0</v>
      </c>
      <c r="O360" s="34">
        <f t="shared" ca="1" si="155"/>
        <v>0</v>
      </c>
      <c r="P360" s="34">
        <f t="shared" ca="1" si="155"/>
        <v>0</v>
      </c>
      <c r="Q360" s="34">
        <f t="shared" ca="1" si="155"/>
        <v>0</v>
      </c>
      <c r="R360" s="34">
        <f t="shared" ca="1" si="155"/>
        <v>0</v>
      </c>
      <c r="S360" s="34">
        <f t="shared" ca="1" si="155"/>
        <v>0</v>
      </c>
      <c r="T360" s="34">
        <f t="shared" ca="1" si="155"/>
        <v>0</v>
      </c>
      <c r="U360" s="34">
        <f t="shared" ca="1" si="155"/>
        <v>0</v>
      </c>
      <c r="V360" s="34">
        <f t="shared" ca="1" si="155"/>
        <v>0</v>
      </c>
      <c r="W360" s="34">
        <f t="shared" ca="1" si="155"/>
        <v>0</v>
      </c>
      <c r="X360" s="34">
        <f t="shared" ca="1" si="155"/>
        <v>0</v>
      </c>
      <c r="Y360" s="34">
        <f t="shared" ca="1" si="155"/>
        <v>0</v>
      </c>
      <c r="Z360" s="34">
        <f t="shared" ca="1" si="155"/>
        <v>0</v>
      </c>
    </row>
    <row r="361" spans="2:26" x14ac:dyDescent="0.35">
      <c r="B361" s="33" t="s">
        <v>422</v>
      </c>
      <c r="D361" s="48"/>
      <c r="E361" s="48"/>
      <c r="F361" s="151">
        <v>0</v>
      </c>
      <c r="G361" s="151">
        <v>0</v>
      </c>
      <c r="H361" s="151">
        <v>0</v>
      </c>
      <c r="I361" s="151">
        <v>0</v>
      </c>
      <c r="J361" s="151">
        <v>0</v>
      </c>
      <c r="K361" s="151">
        <v>0</v>
      </c>
      <c r="L361" s="151">
        <v>0</v>
      </c>
      <c r="M361" s="151">
        <v>0</v>
      </c>
      <c r="N361" s="151">
        <v>0</v>
      </c>
      <c r="O361" s="151">
        <v>0</v>
      </c>
      <c r="P361" s="151">
        <v>0</v>
      </c>
      <c r="Q361" s="151">
        <v>0</v>
      </c>
      <c r="R361" s="151">
        <v>0</v>
      </c>
      <c r="S361" s="151">
        <v>0</v>
      </c>
      <c r="T361" s="151">
        <v>0</v>
      </c>
      <c r="U361" s="151">
        <v>0</v>
      </c>
      <c r="V361" s="151">
        <v>0</v>
      </c>
      <c r="W361" s="151">
        <v>0</v>
      </c>
      <c r="X361" s="151">
        <v>0</v>
      </c>
      <c r="Y361" s="151">
        <v>0</v>
      </c>
      <c r="Z361" s="151">
        <v>0</v>
      </c>
    </row>
    <row r="362" spans="2:26" x14ac:dyDescent="0.35">
      <c r="B362" s="33" t="s">
        <v>423</v>
      </c>
      <c r="D362" s="48"/>
      <c r="E362" s="48"/>
      <c r="F362" s="151">
        <v>0</v>
      </c>
      <c r="G362" s="151">
        <v>0</v>
      </c>
      <c r="H362" s="151">
        <v>0</v>
      </c>
      <c r="I362" s="151">
        <v>0</v>
      </c>
      <c r="J362" s="151">
        <v>0</v>
      </c>
      <c r="K362" s="151">
        <v>0</v>
      </c>
      <c r="L362" s="151">
        <v>0</v>
      </c>
      <c r="M362" s="151">
        <v>0</v>
      </c>
      <c r="N362" s="151">
        <v>0</v>
      </c>
      <c r="O362" s="151">
        <v>0</v>
      </c>
      <c r="P362" s="151">
        <v>0</v>
      </c>
      <c r="Q362" s="151">
        <v>0</v>
      </c>
      <c r="R362" s="151">
        <v>0</v>
      </c>
      <c r="S362" s="151">
        <v>0</v>
      </c>
      <c r="T362" s="151">
        <v>0</v>
      </c>
      <c r="U362" s="151">
        <v>0</v>
      </c>
      <c r="V362" s="151">
        <v>0</v>
      </c>
      <c r="W362" s="151">
        <v>0</v>
      </c>
      <c r="X362" s="151">
        <v>0</v>
      </c>
      <c r="Y362" s="151">
        <v>0</v>
      </c>
      <c r="Z362" s="151">
        <v>0</v>
      </c>
    </row>
    <row r="363" spans="2:26" x14ac:dyDescent="0.35">
      <c r="B363" s="33" t="s">
        <v>414</v>
      </c>
      <c r="D363" s="48"/>
      <c r="E363" s="48"/>
      <c r="F363" s="151">
        <f ca="1">-SUM(F390:F391)*Assumptions!$M$192</f>
        <v>0</v>
      </c>
      <c r="G363" s="151">
        <f ca="1">-SUM(G390:G391)*Assumptions!$M$192</f>
        <v>0</v>
      </c>
      <c r="H363" s="151">
        <f ca="1">-SUM(H390:H391)*Assumptions!$M$192</f>
        <v>0</v>
      </c>
      <c r="I363" s="151">
        <f ca="1">-SUM(I390:I391)*Assumptions!$M$192</f>
        <v>-2689824.3848630525</v>
      </c>
      <c r="J363" s="151">
        <f ca="1">-SUM(J390:J391)*Assumptions!$M$192</f>
        <v>-4079912.1727654762</v>
      </c>
      <c r="K363" s="151">
        <f ca="1">-SUM(K390:K391)*Assumptions!$M$192</f>
        <v>-4139294.7723730388</v>
      </c>
      <c r="L363" s="151">
        <f ca="1">-SUM(L390:L391)*Assumptions!$M$192</f>
        <v>-4585847.6812188672</v>
      </c>
      <c r="M363" s="151">
        <f>-SUM(M390:M391)*Assumptions!$M$192</f>
        <v>0</v>
      </c>
      <c r="N363" s="151">
        <f>-SUM(N390:N391)*Assumptions!$M$192</f>
        <v>0</v>
      </c>
      <c r="O363" s="151">
        <f>-SUM(O390:O391)*Assumptions!$M$192</f>
        <v>0</v>
      </c>
      <c r="P363" s="151">
        <f>-SUM(P390:P391)*Assumptions!$M$192</f>
        <v>0</v>
      </c>
      <c r="Q363" s="151">
        <f>-SUM(Q390:Q391)*Assumptions!$M$192</f>
        <v>0</v>
      </c>
      <c r="R363" s="151">
        <f>-SUM(R390:R391)*Assumptions!$M$192</f>
        <v>0</v>
      </c>
      <c r="S363" s="151">
        <f>-SUM(S390:S391)*Assumptions!$M$192</f>
        <v>0</v>
      </c>
      <c r="T363" s="151">
        <f>-SUM(T390:T391)*Assumptions!$M$192</f>
        <v>0</v>
      </c>
      <c r="U363" s="151">
        <f>-SUM(U390:U391)*Assumptions!$M$192</f>
        <v>0</v>
      </c>
      <c r="V363" s="151">
        <f>-SUM(V390:V391)*Assumptions!$M$192</f>
        <v>0</v>
      </c>
      <c r="W363" s="151">
        <f>-SUM(W390:W391)*Assumptions!$M$192</f>
        <v>0</v>
      </c>
      <c r="X363" s="151">
        <f>-SUM(X390:X391)*Assumptions!$M$192</f>
        <v>0</v>
      </c>
      <c r="Y363" s="151">
        <f>-SUM(Y390:Y391)*Assumptions!$M$192</f>
        <v>0</v>
      </c>
      <c r="Z363" s="151">
        <f>-SUM(Z390:Z391)*Assumptions!$M$192</f>
        <v>0</v>
      </c>
    </row>
    <row r="364" spans="2:26" x14ac:dyDescent="0.35">
      <c r="B364" s="33" t="s">
        <v>415</v>
      </c>
      <c r="D364" s="48"/>
      <c r="E364" s="48"/>
      <c r="F364" s="151">
        <f ca="1">+IF(YEAR(F$140)&lt;=YEAR(Assumptions!$H$30),F321,0)</f>
        <v>0</v>
      </c>
      <c r="G364" s="151">
        <f ca="1">+IF(YEAR(G$140)&lt;=YEAR(Assumptions!$H$30),G321,0)</f>
        <v>0</v>
      </c>
      <c r="H364" s="151">
        <f ca="1">+IF(YEAR(H$140)&lt;=YEAR(Assumptions!$H$30),H321,0)</f>
        <v>0</v>
      </c>
      <c r="I364" s="151">
        <f ca="1">+IF(YEAR(I$140)&lt;=YEAR(Assumptions!$H$30),I321,0)</f>
        <v>12808687.546966918</v>
      </c>
      <c r="J364" s="151">
        <f ca="1">+IF(YEAR(J$140)&lt;=YEAR(Assumptions!$H$30),J321,0)</f>
        <v>25878867.695486184</v>
      </c>
      <c r="K364" s="151">
        <f ca="1">+IF(YEAR(K$140)&lt;=YEAR(Assumptions!$H$30),K321,0)</f>
        <v>26161641.979331724</v>
      </c>
      <c r="L364" s="151">
        <f ca="1">+IF(YEAR(L$140)&lt;=YEAR(Assumptions!$H$30),L321,0)</f>
        <v>28288084.402407091</v>
      </c>
      <c r="M364" s="151">
        <f>+IF(YEAR(M$140)&lt;=YEAR(Assumptions!$H$30),M321,0)</f>
        <v>0</v>
      </c>
      <c r="N364" s="151">
        <f>+IF(YEAR(N$140)&lt;=YEAR(Assumptions!$H$30),N321,0)</f>
        <v>0</v>
      </c>
      <c r="O364" s="151">
        <f>+IF(YEAR(O$140)&lt;=YEAR(Assumptions!$H$30),O321,0)</f>
        <v>0</v>
      </c>
      <c r="P364" s="151">
        <f>+IF(YEAR(P$140)&lt;=YEAR(Assumptions!$H$30),P321,0)</f>
        <v>0</v>
      </c>
      <c r="Q364" s="151">
        <f>+IF(YEAR(Q$140)&lt;=YEAR(Assumptions!$H$30),Q321,0)</f>
        <v>0</v>
      </c>
      <c r="R364" s="151">
        <f>+IF(YEAR(R$140)&lt;=YEAR(Assumptions!$H$30),R321,0)</f>
        <v>0</v>
      </c>
      <c r="S364" s="151">
        <f>+IF(YEAR(S$140)&lt;=YEAR(Assumptions!$H$30),S321,0)</f>
        <v>0</v>
      </c>
      <c r="T364" s="151">
        <f>+IF(YEAR(T$140)&lt;=YEAR(Assumptions!$H$30),T321,0)</f>
        <v>0</v>
      </c>
      <c r="U364" s="151">
        <f>+IF(YEAR(U$140)&lt;=YEAR(Assumptions!$H$30),U321,0)</f>
        <v>0</v>
      </c>
      <c r="V364" s="151">
        <f>+IF(YEAR(V$140)&lt;=YEAR(Assumptions!$H$30),V321,0)</f>
        <v>0</v>
      </c>
      <c r="W364" s="151">
        <f>+IF(YEAR(W$140)&lt;=YEAR(Assumptions!$H$30),W321,0)</f>
        <v>0</v>
      </c>
      <c r="X364" s="151">
        <f>+IF(YEAR(X$140)&lt;=YEAR(Assumptions!$H$30),X321,0)</f>
        <v>0</v>
      </c>
      <c r="Y364" s="151">
        <f>+IF(YEAR(Y$140)&lt;=YEAR(Assumptions!$H$30),Y321,0)</f>
        <v>0</v>
      </c>
      <c r="Z364" s="151">
        <f>+IF(YEAR(Z$140)&lt;=YEAR(Assumptions!$H$30),Z321,0)</f>
        <v>0</v>
      </c>
    </row>
    <row r="365" spans="2:26" x14ac:dyDescent="0.35">
      <c r="B365" s="33" t="s">
        <v>409</v>
      </c>
      <c r="D365" s="48"/>
      <c r="E365" s="48"/>
      <c r="F365" s="151">
        <f>+IF(YEAR(F$140)&lt;=YEAR(Assumptions!$H$30),F326,0)</f>
        <v>0</v>
      </c>
      <c r="G365" s="151">
        <f>+IF(YEAR(G$140)&lt;=YEAR(Assumptions!$H$30),G326,0)</f>
        <v>0</v>
      </c>
      <c r="H365" s="151">
        <f>+IF(YEAR(H$140)&lt;=YEAR(Assumptions!$H$30),H326,0)</f>
        <v>0</v>
      </c>
      <c r="I365" s="151">
        <f>+IF(YEAR(I$140)&lt;=YEAR(Assumptions!$H$30),I326,0)</f>
        <v>0</v>
      </c>
      <c r="J365" s="151">
        <f>+IF(YEAR(J$140)&lt;=YEAR(Assumptions!$H$30),J326,0)</f>
        <v>0</v>
      </c>
      <c r="K365" s="151">
        <f>+IF(YEAR(K$140)&lt;=YEAR(Assumptions!$H$30),K326,0)</f>
        <v>0</v>
      </c>
      <c r="L365" s="151">
        <f ca="1">+IF(YEAR(L$140)&lt;=YEAR(Assumptions!$H$30),L326,0)</f>
        <v>454192479.16789788</v>
      </c>
      <c r="M365" s="151">
        <f>+IF(YEAR(M$140)&lt;=YEAR(Assumptions!$H$30),M326,0)</f>
        <v>0</v>
      </c>
      <c r="N365" s="151">
        <f>+IF(YEAR(N$140)&lt;=YEAR(Assumptions!$H$30),N326,0)</f>
        <v>0</v>
      </c>
      <c r="O365" s="151">
        <f>+IF(YEAR(O$140)&lt;=YEAR(Assumptions!$H$30),O326,0)</f>
        <v>0</v>
      </c>
      <c r="P365" s="151">
        <f>+IF(YEAR(P$140)&lt;=YEAR(Assumptions!$H$30),P326,0)</f>
        <v>0</v>
      </c>
      <c r="Q365" s="151">
        <f>+IF(YEAR(Q$140)&lt;=YEAR(Assumptions!$H$30),Q326,0)</f>
        <v>0</v>
      </c>
      <c r="R365" s="151">
        <f>+IF(YEAR(R$140)&lt;=YEAR(Assumptions!$H$30),R326,0)</f>
        <v>0</v>
      </c>
      <c r="S365" s="151">
        <f>+IF(YEAR(S$140)&lt;=YEAR(Assumptions!$H$30),S326,0)</f>
        <v>0</v>
      </c>
      <c r="T365" s="151">
        <f>+IF(YEAR(T$140)&lt;=YEAR(Assumptions!$H$30),T326,0)</f>
        <v>0</v>
      </c>
      <c r="U365" s="151">
        <f>+IF(YEAR(U$140)&lt;=YEAR(Assumptions!$H$30),U326,0)</f>
        <v>0</v>
      </c>
      <c r="V365" s="151">
        <f>+IF(YEAR(V$140)&lt;=YEAR(Assumptions!$H$30),V326,0)</f>
        <v>0</v>
      </c>
      <c r="W365" s="151">
        <f>+IF(YEAR(W$140)&lt;=YEAR(Assumptions!$H$30),W326,0)</f>
        <v>0</v>
      </c>
      <c r="X365" s="151">
        <f>+IF(YEAR(X$140)&lt;=YEAR(Assumptions!$H$30),X326,0)</f>
        <v>0</v>
      </c>
      <c r="Y365" s="151">
        <f>+IF(YEAR(Y$140)&lt;=YEAR(Assumptions!$H$30),Y326,0)</f>
        <v>0</v>
      </c>
      <c r="Z365" s="151">
        <f>+IF(YEAR(Z$140)&lt;=YEAR(Assumptions!$H$30),Z326,0)</f>
        <v>0</v>
      </c>
    </row>
    <row r="366" spans="2:26" x14ac:dyDescent="0.35">
      <c r="B366" s="33" t="s">
        <v>421</v>
      </c>
      <c r="D366" s="48"/>
      <c r="E366" s="48"/>
      <c r="F366" s="151">
        <f>-F394*Assumptions!$M$192</f>
        <v>0</v>
      </c>
      <c r="G366" s="151">
        <f>-G394*Assumptions!$M$192</f>
        <v>0</v>
      </c>
      <c r="H366" s="151">
        <f>-H394*Assumptions!$M$192</f>
        <v>0</v>
      </c>
      <c r="I366" s="151">
        <f>-I394*Assumptions!$M$192</f>
        <v>0</v>
      </c>
      <c r="J366" s="151">
        <f>-J394*Assumptions!$M$192</f>
        <v>0</v>
      </c>
      <c r="K366" s="151">
        <f>-K394*Assumptions!$M$192</f>
        <v>0</v>
      </c>
      <c r="L366" s="151">
        <f ca="1">-L394*Assumptions!$M$192</f>
        <v>-39483198.021603368</v>
      </c>
      <c r="M366" s="151">
        <f>-M394*Assumptions!$M$192</f>
        <v>0</v>
      </c>
      <c r="N366" s="151">
        <f>-N394*Assumptions!$M$192</f>
        <v>0</v>
      </c>
      <c r="O366" s="151">
        <f>-O394*Assumptions!$M$192</f>
        <v>0</v>
      </c>
      <c r="P366" s="151">
        <f>-P394*Assumptions!$M$192</f>
        <v>0</v>
      </c>
      <c r="Q366" s="151">
        <f>-Q394*Assumptions!$M$192</f>
        <v>0</v>
      </c>
      <c r="R366" s="151">
        <f>-R394*Assumptions!$M$192</f>
        <v>0</v>
      </c>
      <c r="S366" s="151">
        <f>-S394*Assumptions!$M$192</f>
        <v>0</v>
      </c>
      <c r="T366" s="151">
        <f>-T394*Assumptions!$M$192</f>
        <v>0</v>
      </c>
      <c r="U366" s="151">
        <f>-U394*Assumptions!$M$192</f>
        <v>0</v>
      </c>
      <c r="V366" s="151">
        <f>-V394*Assumptions!$M$192</f>
        <v>0</v>
      </c>
      <c r="W366" s="151">
        <f>-W394*Assumptions!$M$192</f>
        <v>0</v>
      </c>
      <c r="X366" s="151">
        <f>-X394*Assumptions!$M$192</f>
        <v>0</v>
      </c>
      <c r="Y366" s="151">
        <f>-Y394*Assumptions!$M$192</f>
        <v>0</v>
      </c>
      <c r="Z366" s="151">
        <f>-Z394*Assumptions!$M$192</f>
        <v>0</v>
      </c>
    </row>
    <row r="367" spans="2:26" x14ac:dyDescent="0.35">
      <c r="B367" s="138" t="s">
        <v>413</v>
      </c>
      <c r="C367" s="138"/>
      <c r="D367" s="139">
        <f t="shared" ref="D367" ca="1" si="156">+SUM(F367:Z367)</f>
        <v>206822289.79014668</v>
      </c>
      <c r="E367" s="139"/>
      <c r="F367" s="139">
        <f t="shared" ref="F367:Z367" ca="1" si="157">+SUM(F360:F366)</f>
        <v>-52170014.936448134</v>
      </c>
      <c r="G367" s="139">
        <f t="shared" ca="1" si="157"/>
        <v>-154099104.05735764</v>
      </c>
      <c r="H367" s="139">
        <f t="shared" ca="1" si="157"/>
        <v>-79260274.975313485</v>
      </c>
      <c r="I367" s="139">
        <f t="shared" ca="1" si="157"/>
        <v>10118863.162103865</v>
      </c>
      <c r="J367" s="139">
        <f t="shared" ca="1" si="157"/>
        <v>21798955.522720709</v>
      </c>
      <c r="K367" s="139">
        <f t="shared" ca="1" si="157"/>
        <v>22022347.206958685</v>
      </c>
      <c r="L367" s="139">
        <f t="shared" ca="1" si="157"/>
        <v>438411517.86748278</v>
      </c>
      <c r="M367" s="139">
        <f t="shared" ca="1" si="157"/>
        <v>0</v>
      </c>
      <c r="N367" s="139">
        <f t="shared" ca="1" si="157"/>
        <v>0</v>
      </c>
      <c r="O367" s="139">
        <f t="shared" ca="1" si="157"/>
        <v>0</v>
      </c>
      <c r="P367" s="139">
        <f t="shared" ca="1" si="157"/>
        <v>0</v>
      </c>
      <c r="Q367" s="139">
        <f t="shared" ca="1" si="157"/>
        <v>0</v>
      </c>
      <c r="R367" s="139">
        <f t="shared" ca="1" si="157"/>
        <v>0</v>
      </c>
      <c r="S367" s="139">
        <f t="shared" ca="1" si="157"/>
        <v>0</v>
      </c>
      <c r="T367" s="139">
        <f t="shared" ca="1" si="157"/>
        <v>0</v>
      </c>
      <c r="U367" s="139">
        <f t="shared" ca="1" si="157"/>
        <v>0</v>
      </c>
      <c r="V367" s="139">
        <f t="shared" ca="1" si="157"/>
        <v>0</v>
      </c>
      <c r="W367" s="139">
        <f t="shared" ca="1" si="157"/>
        <v>0</v>
      </c>
      <c r="X367" s="139">
        <f t="shared" ca="1" si="157"/>
        <v>0</v>
      </c>
      <c r="Y367" s="139">
        <f t="shared" ca="1" si="157"/>
        <v>0</v>
      </c>
      <c r="Z367" s="139">
        <f t="shared" ca="1" si="157"/>
        <v>0</v>
      </c>
    </row>
    <row r="368" spans="2:26" x14ac:dyDescent="0.35">
      <c r="B368" s="119"/>
    </row>
    <row r="369" spans="2:26" x14ac:dyDescent="0.35">
      <c r="B369" s="226" t="s">
        <v>426</v>
      </c>
      <c r="C369" s="226"/>
      <c r="D369" s="227">
        <f ca="1">+IRR(F367:Z367)</f>
        <v>0.12254444245897433</v>
      </c>
    </row>
    <row r="370" spans="2:26" x14ac:dyDescent="0.35">
      <c r="B370" s="119"/>
    </row>
    <row r="371" spans="2:26" x14ac:dyDescent="0.35">
      <c r="B371" s="148" t="s">
        <v>412</v>
      </c>
      <c r="F371" s="148">
        <f>+F359</f>
        <v>0</v>
      </c>
      <c r="G371" s="148">
        <f t="shared" ref="G371:Z372" si="158">+G359</f>
        <v>1</v>
      </c>
      <c r="H371" s="148">
        <f t="shared" si="158"/>
        <v>2</v>
      </c>
      <c r="I371" s="148">
        <f t="shared" si="158"/>
        <v>3</v>
      </c>
      <c r="J371" s="148">
        <f t="shared" si="158"/>
        <v>4</v>
      </c>
      <c r="K371" s="148">
        <f t="shared" si="158"/>
        <v>5</v>
      </c>
      <c r="L371" s="148">
        <f t="shared" si="158"/>
        <v>6</v>
      </c>
      <c r="M371" s="148">
        <f t="shared" si="158"/>
        <v>7</v>
      </c>
      <c r="N371" s="148">
        <f t="shared" si="158"/>
        <v>8</v>
      </c>
      <c r="O371" s="148">
        <f t="shared" si="158"/>
        <v>9</v>
      </c>
      <c r="P371" s="148">
        <f t="shared" si="158"/>
        <v>10</v>
      </c>
      <c r="Q371" s="148">
        <f t="shared" si="158"/>
        <v>11</v>
      </c>
      <c r="R371" s="148">
        <f t="shared" si="158"/>
        <v>12</v>
      </c>
      <c r="S371" s="148">
        <f t="shared" si="158"/>
        <v>13</v>
      </c>
      <c r="T371" s="148">
        <f t="shared" si="158"/>
        <v>14</v>
      </c>
      <c r="U371" s="148">
        <f t="shared" si="158"/>
        <v>15</v>
      </c>
      <c r="V371" s="148">
        <f t="shared" si="158"/>
        <v>16</v>
      </c>
      <c r="W371" s="148">
        <f t="shared" si="158"/>
        <v>17</v>
      </c>
      <c r="X371" s="148">
        <f t="shared" si="158"/>
        <v>18</v>
      </c>
      <c r="Y371" s="148">
        <f t="shared" si="158"/>
        <v>19</v>
      </c>
      <c r="Z371" s="148">
        <f t="shared" si="158"/>
        <v>20</v>
      </c>
    </row>
    <row r="372" spans="2:26" x14ac:dyDescent="0.35">
      <c r="B372" s="33" t="s">
        <v>404</v>
      </c>
      <c r="D372" s="48"/>
      <c r="E372" s="48"/>
      <c r="F372" s="34">
        <f ca="1">+F360</f>
        <v>-52170014.936448134</v>
      </c>
      <c r="G372" s="34">
        <f t="shared" ca="1" si="158"/>
        <v>-154099104.05735764</v>
      </c>
      <c r="H372" s="34">
        <f t="shared" ca="1" si="158"/>
        <v>-79260274.975313485</v>
      </c>
      <c r="I372" s="34">
        <f t="shared" ca="1" si="158"/>
        <v>0</v>
      </c>
      <c r="J372" s="34">
        <f t="shared" ca="1" si="158"/>
        <v>0</v>
      </c>
      <c r="K372" s="34">
        <f t="shared" ca="1" si="158"/>
        <v>0</v>
      </c>
      <c r="L372" s="34">
        <f t="shared" ca="1" si="158"/>
        <v>0</v>
      </c>
      <c r="M372" s="34">
        <f t="shared" ca="1" si="158"/>
        <v>0</v>
      </c>
      <c r="N372" s="34">
        <f t="shared" ca="1" si="158"/>
        <v>0</v>
      </c>
      <c r="O372" s="34">
        <f t="shared" ca="1" si="158"/>
        <v>0</v>
      </c>
      <c r="P372" s="34">
        <f t="shared" ca="1" si="158"/>
        <v>0</v>
      </c>
      <c r="Q372" s="34">
        <f t="shared" ca="1" si="158"/>
        <v>0</v>
      </c>
      <c r="R372" s="34">
        <f t="shared" ca="1" si="158"/>
        <v>0</v>
      </c>
      <c r="S372" s="34">
        <f t="shared" ca="1" si="158"/>
        <v>0</v>
      </c>
      <c r="T372" s="34">
        <f t="shared" ca="1" si="158"/>
        <v>0</v>
      </c>
      <c r="U372" s="34">
        <f t="shared" ca="1" si="158"/>
        <v>0</v>
      </c>
      <c r="V372" s="34">
        <f t="shared" ca="1" si="158"/>
        <v>0</v>
      </c>
      <c r="W372" s="34">
        <f t="shared" ca="1" si="158"/>
        <v>0</v>
      </c>
      <c r="X372" s="34">
        <f t="shared" ca="1" si="158"/>
        <v>0</v>
      </c>
      <c r="Y372" s="34">
        <f t="shared" ca="1" si="158"/>
        <v>0</v>
      </c>
      <c r="Z372" s="34">
        <f t="shared" ca="1" si="158"/>
        <v>0</v>
      </c>
    </row>
    <row r="373" spans="2:26" x14ac:dyDescent="0.35">
      <c r="B373" s="33" t="s">
        <v>422</v>
      </c>
      <c r="D373" s="48"/>
      <c r="E373" s="48"/>
      <c r="F373" s="151">
        <f ca="1">-F372*Assumptions!$M$192</f>
        <v>10955703.136654109</v>
      </c>
      <c r="G373" s="151">
        <f ca="1">-G372*Assumptions!$M$192</f>
        <v>32360811.852045104</v>
      </c>
      <c r="H373" s="151">
        <f ca="1">-H372*Assumptions!$M$192</f>
        <v>16644657.744815832</v>
      </c>
      <c r="I373" s="151">
        <f ca="1">-I372*Assumptions!$M$192</f>
        <v>0</v>
      </c>
      <c r="J373" s="151">
        <f ca="1">-J372*Assumptions!$M$192</f>
        <v>0</v>
      </c>
      <c r="K373" s="151">
        <f ca="1">-K372*Assumptions!$M$192</f>
        <v>0</v>
      </c>
      <c r="L373" s="151">
        <f ca="1">-L372*Assumptions!$M$192</f>
        <v>0</v>
      </c>
      <c r="M373" s="151">
        <f ca="1">-M372*Assumptions!$M$192</f>
        <v>0</v>
      </c>
      <c r="N373" s="151">
        <f ca="1">-N372*Assumptions!$M$192</f>
        <v>0</v>
      </c>
      <c r="O373" s="151">
        <f ca="1">-O372*Assumptions!$M$192</f>
        <v>0</v>
      </c>
      <c r="P373" s="151">
        <f ca="1">-P372*Assumptions!$M$192</f>
        <v>0</v>
      </c>
      <c r="Q373" s="151">
        <f ca="1">-Q372*Assumptions!$M$192</f>
        <v>0</v>
      </c>
      <c r="R373" s="151">
        <f ca="1">-R372*Assumptions!$M$192</f>
        <v>0</v>
      </c>
      <c r="S373" s="151">
        <f ca="1">-S372*Assumptions!$M$192</f>
        <v>0</v>
      </c>
      <c r="T373" s="151">
        <f ca="1">-T372*Assumptions!$M$192</f>
        <v>0</v>
      </c>
      <c r="U373" s="151">
        <f ca="1">-U372*Assumptions!$M$192</f>
        <v>0</v>
      </c>
      <c r="V373" s="151">
        <f ca="1">-V372*Assumptions!$M$192</f>
        <v>0</v>
      </c>
      <c r="W373" s="151">
        <f ca="1">-W372*Assumptions!$M$192</f>
        <v>0</v>
      </c>
      <c r="X373" s="151">
        <f ca="1">-X372*Assumptions!$M$192</f>
        <v>0</v>
      </c>
      <c r="Y373" s="151">
        <f ca="1">-Y372*Assumptions!$M$192</f>
        <v>0</v>
      </c>
      <c r="Z373" s="151">
        <f ca="1">-Z372*Assumptions!$M$192</f>
        <v>0</v>
      </c>
    </row>
    <row r="374" spans="2:26" x14ac:dyDescent="0.35">
      <c r="B374" s="33" t="s">
        <v>423</v>
      </c>
      <c r="D374" s="48"/>
      <c r="E374" s="48"/>
      <c r="F374" s="151">
        <f ca="1">IFERROR(-IF(YEAR(F357)&lt;MIN(YEAR(Assumptions!$H$30),2026),(OFFSET(F373,0,-10)),IF(YEAR(F357)=MIN(YEAR(Assumptions!$H$30),2026),SUM($E$373:F$373)-SUM($E$374:E$374),0)),0)</f>
        <v>0</v>
      </c>
      <c r="G374" s="151">
        <f ca="1">IFERROR(-IF(YEAR(G357)&lt;MIN(YEAR(Assumptions!$H$30),2026),(OFFSET(G373,0,-10)),IF(YEAR(G357)=MIN(YEAR(Assumptions!$H$30),2026),SUM($E$373:G$373)-SUM($E$374:F$374),0)),0)</f>
        <v>0</v>
      </c>
      <c r="H374" s="151">
        <f ca="1">IFERROR(-IF(YEAR(H357)&lt;MIN(YEAR(Assumptions!$H$30),2026),(OFFSET(H373,0,-10)),IF(YEAR(H357)=MIN(YEAR(Assumptions!$H$30),2026),SUM($E$373:H$373)-SUM($E$374:G$374),0)),0)</f>
        <v>-59961172.733515047</v>
      </c>
      <c r="I374" s="151">
        <f ca="1">IFERROR(-IF(YEAR(I357)&lt;MIN(YEAR(Assumptions!$H$30),2026),(OFFSET(I373,0,-10)),IF(YEAR(I357)=MIN(YEAR(Assumptions!$H$30),2026),SUM($E$373:I$373)-SUM($E$374:H$374),0)),0)</f>
        <v>0</v>
      </c>
      <c r="J374" s="151">
        <f ca="1">IFERROR(-IF(YEAR(J357)&lt;MIN(YEAR(Assumptions!$H$30),2026),(OFFSET(J373,0,-10)),IF(YEAR(J357)=MIN(YEAR(Assumptions!$H$30),2026),SUM($E$373:J$373)-SUM($E$374:I$374),0)),0)</f>
        <v>0</v>
      </c>
      <c r="K374" s="151">
        <f ca="1">IFERROR(-IF(YEAR(K357)&lt;MIN(YEAR(Assumptions!$H$30),2026),(OFFSET(K373,0,-10)),IF(YEAR(K357)=MIN(YEAR(Assumptions!$H$30),2026),SUM($E$373:K$373)-SUM($E$374:J$374),0)),0)</f>
        <v>0</v>
      </c>
      <c r="L374" s="151">
        <f ca="1">IFERROR(-IF(YEAR(L357)&lt;MIN(YEAR(Assumptions!$H$30),2026),(OFFSET(L373,0,-10)),IF(YEAR(L357)=MIN(YEAR(Assumptions!$H$30),2026),SUM($E$373:L$373)-SUM($E$374:K$374),0)),0)</f>
        <v>0</v>
      </c>
      <c r="M374" s="151">
        <f ca="1">IFERROR(-IF(YEAR(M357)&lt;MIN(YEAR(Assumptions!$H$30),2026),(OFFSET(M373,0,-10)),IF(YEAR(M357)=MIN(YEAR(Assumptions!$H$30),2026),SUM($E$373:M$373)-SUM($E$374:L$374),0)),0)</f>
        <v>0</v>
      </c>
      <c r="N374" s="151">
        <f ca="1">IFERROR(-IF(YEAR(N357)&lt;MIN(YEAR(Assumptions!$H$30),2026),(OFFSET(N373,0,-10)),IF(YEAR(N357)=MIN(YEAR(Assumptions!$H$30),2026),SUM($E$373:N$373)-SUM($E$374:M$374),0)),0)</f>
        <v>0</v>
      </c>
      <c r="O374" s="151">
        <f ca="1">IFERROR(-IF(YEAR(O357)&lt;MIN(YEAR(Assumptions!$H$30),2026),(OFFSET(O373,0,-10)),IF(YEAR(O357)=MIN(YEAR(Assumptions!$H$30),2026),SUM($E$373:O$373)-SUM($E$374:N$374),0)),0)</f>
        <v>0</v>
      </c>
      <c r="P374" s="151">
        <f ca="1">IFERROR(-IF(YEAR(P357)&lt;MIN(YEAR(Assumptions!$H$30),2026),(OFFSET(P373,0,-10)),IF(YEAR(P357)=MIN(YEAR(Assumptions!$H$30),2026),SUM($E$373:P$373)-SUM($E$374:O$374),0)),0)</f>
        <v>0</v>
      </c>
      <c r="Q374" s="151">
        <f ca="1">IFERROR(-IF(YEAR(Q357)&lt;MIN(YEAR(Assumptions!$H$30),2026),(OFFSET(Q373,0,-10)),IF(YEAR(Q357)=MIN(YEAR(Assumptions!$H$30),2026),SUM($E$373:Q$373)-SUM($E$374:P$374),0)),0)</f>
        <v>0</v>
      </c>
      <c r="R374" s="151">
        <f ca="1">IFERROR(-IF(YEAR(R357)&lt;MIN(YEAR(Assumptions!$H$30),2026),(OFFSET(R373,0,-10)),IF(YEAR(R357)=MIN(YEAR(Assumptions!$H$30),2026),SUM($E$373:R$373)-SUM($E$374:Q$374),0)),0)</f>
        <v>0</v>
      </c>
      <c r="S374" s="151">
        <f ca="1">IFERROR(-IF(YEAR(S357)&lt;MIN(YEAR(Assumptions!$H$30),2026),(OFFSET(S373,0,-10)),IF(YEAR(S357)=MIN(YEAR(Assumptions!$H$30),2026),SUM($E$373:S$373)-SUM($E$374:R$374),0)),0)</f>
        <v>0</v>
      </c>
      <c r="T374" s="151">
        <f ca="1">IFERROR(-IF(YEAR(T357)&lt;MIN(YEAR(Assumptions!$H$30),2026),(OFFSET(T373,0,-10)),IF(YEAR(T357)=MIN(YEAR(Assumptions!$H$30),2026),SUM($E$373:T$373)-SUM($E$374:S$374),0)),0)</f>
        <v>0</v>
      </c>
      <c r="U374" s="151">
        <f ca="1">IFERROR(-IF(YEAR(U357)&lt;MIN(YEAR(Assumptions!$H$30),2026),(OFFSET(U373,0,-10)),IF(YEAR(U357)=MIN(YEAR(Assumptions!$H$30),2026),SUM($E$373:U$373)-SUM($E$374:T$374),0)),0)</f>
        <v>0</v>
      </c>
      <c r="V374" s="151">
        <f ca="1">IFERROR(-IF(YEAR(V357)&lt;MIN(YEAR(Assumptions!$H$30),2026),(OFFSET(V373,0,-10)),IF(YEAR(V357)=MIN(YEAR(Assumptions!$H$30),2026),SUM($E$373:V$373)-SUM($E$374:U$374),0)),0)</f>
        <v>0</v>
      </c>
      <c r="W374" s="151">
        <f ca="1">IFERROR(-IF(YEAR(W357)&lt;MIN(YEAR(Assumptions!$H$30),2026),(OFFSET(W373,0,-10)),IF(YEAR(W357)=MIN(YEAR(Assumptions!$H$30),2026),SUM($E$373:W$373)-SUM($E$374:V$374),0)),0)</f>
        <v>0</v>
      </c>
      <c r="X374" s="151">
        <f ca="1">IFERROR(-IF(YEAR(X357)&lt;MIN(YEAR(Assumptions!$H$30),2026),(OFFSET(X373,0,-10)),IF(YEAR(X357)=MIN(YEAR(Assumptions!$H$30),2026),SUM($E$373:X$373)-SUM($E$374:W$374),0)),0)</f>
        <v>0</v>
      </c>
      <c r="Y374" s="151">
        <f ca="1">IFERROR(-IF(YEAR(Y357)&lt;MIN(YEAR(Assumptions!$H$30),2026),(OFFSET(Y373,0,-10)),IF(YEAR(Y357)=MIN(YEAR(Assumptions!$H$30),2026),SUM($E$373:Y$373)-SUM($E$374:X$374),0)),0)</f>
        <v>0</v>
      </c>
      <c r="Z374" s="151">
        <f ca="1">IFERROR(-IF(YEAR(Z357)&lt;MIN(YEAR(Assumptions!$H$30),2026),(OFFSET(Z373,0,-10)),IF(YEAR(Z357)=MIN(YEAR(Assumptions!$H$30),2026),SUM($E$373:Z$373)-SUM($E$374:Y$374),0)),0)</f>
        <v>0</v>
      </c>
    </row>
    <row r="375" spans="2:26" x14ac:dyDescent="0.35">
      <c r="B375" s="33" t="s">
        <v>424</v>
      </c>
      <c r="D375" s="48"/>
      <c r="E375" s="48"/>
      <c r="F375" s="151">
        <f>+IF(YEAR(F357)=MIN(YEAR(Assumptions!$H$30),2026),SUM($F$385:$Z$385),0)</f>
        <v>0</v>
      </c>
      <c r="G375" s="151">
        <f>+IF(YEAR(G357)=MIN(YEAR(Assumptions!$H$30),2026),SUM($F$385:$Z$385),0)</f>
        <v>0</v>
      </c>
      <c r="H375" s="151">
        <f ca="1">+IF(YEAR(H357)=MIN(YEAR(Assumptions!$H$30),2026),SUM($F$385:$Z$385),0)</f>
        <v>4331651.498869922</v>
      </c>
      <c r="I375" s="151">
        <f>+IF(YEAR(I357)=MIN(YEAR(Assumptions!$H$30),2026),SUM($F$385:$Z$385),0)</f>
        <v>0</v>
      </c>
      <c r="J375" s="151">
        <f>+IF(YEAR(J357)=MIN(YEAR(Assumptions!$H$30),2026),SUM($F$385:$Z$385),0)</f>
        <v>0</v>
      </c>
      <c r="K375" s="151">
        <f>+IF(YEAR(K357)=MIN(YEAR(Assumptions!$H$30),2026),SUM($F$385:$Z$385),0)</f>
        <v>0</v>
      </c>
      <c r="L375" s="151">
        <f>+IF(YEAR(L357)=MIN(YEAR(Assumptions!$H$30),2026),SUM($F$385:$Z$385),0)</f>
        <v>0</v>
      </c>
      <c r="M375" s="151">
        <f>+IF(YEAR(M357)=MIN(YEAR(Assumptions!$H$30),2026),SUM($F$385:$Z$385),0)</f>
        <v>0</v>
      </c>
      <c r="N375" s="151">
        <f>+IF(YEAR(N357)=MIN(YEAR(Assumptions!$H$30),2026),SUM($F$385:$Z$385),0)</f>
        <v>0</v>
      </c>
      <c r="O375" s="151">
        <f>+IF(YEAR(O357)=MIN(YEAR(Assumptions!$H$30),2026),SUM($F$385:$Z$385),0)</f>
        <v>0</v>
      </c>
      <c r="P375" s="151">
        <f>+IF(YEAR(P357)=MIN(YEAR(Assumptions!$H$30),2026),SUM($F$385:$Z$385),0)</f>
        <v>0</v>
      </c>
      <c r="Q375" s="151">
        <f>+IF(YEAR(Q357)=MIN(YEAR(Assumptions!$H$30),2026),SUM($F$385:$Z$385),0)</f>
        <v>0</v>
      </c>
      <c r="R375" s="151">
        <f>+IF(YEAR(R357)=MIN(YEAR(Assumptions!$H$30),2026),SUM($F$385:$Z$385),0)</f>
        <v>0</v>
      </c>
      <c r="S375" s="151">
        <f>+IF(YEAR(S357)=MIN(YEAR(Assumptions!$H$30),2026),SUM($F$385:$Z$385),0)</f>
        <v>0</v>
      </c>
      <c r="T375" s="151">
        <f>+IF(YEAR(T357)=MIN(YEAR(Assumptions!$H$30),2026),SUM($F$385:$Z$385),0)</f>
        <v>0</v>
      </c>
      <c r="U375" s="151">
        <f>+IF(YEAR(U357)=MIN(YEAR(Assumptions!$H$30),2026),SUM($F$385:$Z$385),0)</f>
        <v>0</v>
      </c>
      <c r="V375" s="151">
        <f>+IF(YEAR(V357)=MIN(YEAR(Assumptions!$H$30),2026),SUM($F$385:$Z$385),0)</f>
        <v>0</v>
      </c>
      <c r="W375" s="151">
        <f>+IF(YEAR(W357)=MIN(YEAR(Assumptions!$H$30),2026),SUM($F$385:$Z$385),0)</f>
        <v>0</v>
      </c>
      <c r="X375" s="151">
        <f>+IF(YEAR(X357)=MIN(YEAR(Assumptions!$H$30),2026),SUM($F$385:$Z$385),0)</f>
        <v>0</v>
      </c>
      <c r="Y375" s="151">
        <f>+IF(YEAR(Y357)=MIN(YEAR(Assumptions!$H$30),2026),SUM($F$385:$Z$385),0)</f>
        <v>0</v>
      </c>
      <c r="Z375" s="151">
        <f>+IF(YEAR(Z357)=MIN(YEAR(Assumptions!$H$30),2026),SUM($F$385:$Z$385),0)</f>
        <v>0</v>
      </c>
    </row>
    <row r="376" spans="2:26" x14ac:dyDescent="0.35">
      <c r="B376" s="33" t="s">
        <v>414</v>
      </c>
      <c r="D376" s="48"/>
      <c r="E376" s="48"/>
      <c r="F376" s="151">
        <f ca="1">+F363</f>
        <v>0</v>
      </c>
      <c r="G376" s="151">
        <f t="shared" ref="G376:Z378" ca="1" si="159">+G363</f>
        <v>0</v>
      </c>
      <c r="H376" s="151">
        <f t="shared" ca="1" si="159"/>
        <v>0</v>
      </c>
      <c r="I376" s="151">
        <f t="shared" ca="1" si="159"/>
        <v>-2689824.3848630525</v>
      </c>
      <c r="J376" s="151">
        <f t="shared" ca="1" si="159"/>
        <v>-4079912.1727654762</v>
      </c>
      <c r="K376" s="151">
        <f t="shared" ca="1" si="159"/>
        <v>-4139294.7723730388</v>
      </c>
      <c r="L376" s="151">
        <f t="shared" ca="1" si="159"/>
        <v>-4585847.6812188672</v>
      </c>
      <c r="M376" s="151">
        <f t="shared" si="159"/>
        <v>0</v>
      </c>
      <c r="N376" s="151">
        <f t="shared" si="159"/>
        <v>0</v>
      </c>
      <c r="O376" s="151">
        <f t="shared" si="159"/>
        <v>0</v>
      </c>
      <c r="P376" s="151">
        <f t="shared" si="159"/>
        <v>0</v>
      </c>
      <c r="Q376" s="151">
        <f t="shared" si="159"/>
        <v>0</v>
      </c>
      <c r="R376" s="151">
        <f t="shared" si="159"/>
        <v>0</v>
      </c>
      <c r="S376" s="151">
        <f t="shared" si="159"/>
        <v>0</v>
      </c>
      <c r="T376" s="151">
        <f t="shared" si="159"/>
        <v>0</v>
      </c>
      <c r="U376" s="151">
        <f t="shared" si="159"/>
        <v>0</v>
      </c>
      <c r="V376" s="151">
        <f t="shared" si="159"/>
        <v>0</v>
      </c>
      <c r="W376" s="151">
        <f t="shared" si="159"/>
        <v>0</v>
      </c>
      <c r="X376" s="151">
        <f t="shared" si="159"/>
        <v>0</v>
      </c>
      <c r="Y376" s="151">
        <f t="shared" si="159"/>
        <v>0</v>
      </c>
      <c r="Z376" s="151">
        <f t="shared" si="159"/>
        <v>0</v>
      </c>
    </row>
    <row r="377" spans="2:26" x14ac:dyDescent="0.35">
      <c r="B377" s="33" t="s">
        <v>415</v>
      </c>
      <c r="D377" s="48"/>
      <c r="E377" s="48"/>
      <c r="F377" s="151">
        <f ca="1">+F364</f>
        <v>0</v>
      </c>
      <c r="G377" s="151">
        <f t="shared" ca="1" si="159"/>
        <v>0</v>
      </c>
      <c r="H377" s="151">
        <f t="shared" ca="1" si="159"/>
        <v>0</v>
      </c>
      <c r="I377" s="151">
        <f t="shared" ca="1" si="159"/>
        <v>12808687.546966918</v>
      </c>
      <c r="J377" s="151">
        <f t="shared" ca="1" si="159"/>
        <v>25878867.695486184</v>
      </c>
      <c r="K377" s="151">
        <f t="shared" ca="1" si="159"/>
        <v>26161641.979331724</v>
      </c>
      <c r="L377" s="151">
        <f t="shared" ca="1" si="159"/>
        <v>28288084.402407091</v>
      </c>
      <c r="M377" s="151">
        <f t="shared" si="159"/>
        <v>0</v>
      </c>
      <c r="N377" s="151">
        <f t="shared" si="159"/>
        <v>0</v>
      </c>
      <c r="O377" s="151">
        <f t="shared" si="159"/>
        <v>0</v>
      </c>
      <c r="P377" s="151">
        <f t="shared" si="159"/>
        <v>0</v>
      </c>
      <c r="Q377" s="151">
        <f t="shared" si="159"/>
        <v>0</v>
      </c>
      <c r="R377" s="151">
        <f t="shared" si="159"/>
        <v>0</v>
      </c>
      <c r="S377" s="151">
        <f t="shared" si="159"/>
        <v>0</v>
      </c>
      <c r="T377" s="151">
        <f t="shared" si="159"/>
        <v>0</v>
      </c>
      <c r="U377" s="151">
        <f t="shared" si="159"/>
        <v>0</v>
      </c>
      <c r="V377" s="151">
        <f t="shared" si="159"/>
        <v>0</v>
      </c>
      <c r="W377" s="151">
        <f t="shared" si="159"/>
        <v>0</v>
      </c>
      <c r="X377" s="151">
        <f t="shared" si="159"/>
        <v>0</v>
      </c>
      <c r="Y377" s="151">
        <f t="shared" si="159"/>
        <v>0</v>
      </c>
      <c r="Z377" s="151">
        <f t="shared" si="159"/>
        <v>0</v>
      </c>
    </row>
    <row r="378" spans="2:26" x14ac:dyDescent="0.35">
      <c r="B378" s="33" t="s">
        <v>409</v>
      </c>
      <c r="D378" s="48"/>
      <c r="E378" s="48"/>
      <c r="F378" s="151">
        <f>+F365</f>
        <v>0</v>
      </c>
      <c r="G378" s="151">
        <f t="shared" si="159"/>
        <v>0</v>
      </c>
      <c r="H378" s="151">
        <f t="shared" si="159"/>
        <v>0</v>
      </c>
      <c r="I378" s="151">
        <f t="shared" si="159"/>
        <v>0</v>
      </c>
      <c r="J378" s="151">
        <f t="shared" si="159"/>
        <v>0</v>
      </c>
      <c r="K378" s="151">
        <f t="shared" si="159"/>
        <v>0</v>
      </c>
      <c r="L378" s="151">
        <f t="shared" ca="1" si="159"/>
        <v>454192479.16789788</v>
      </c>
      <c r="M378" s="151">
        <f t="shared" si="159"/>
        <v>0</v>
      </c>
      <c r="N378" s="151">
        <f t="shared" si="159"/>
        <v>0</v>
      </c>
      <c r="O378" s="151">
        <f t="shared" si="159"/>
        <v>0</v>
      </c>
      <c r="P378" s="151">
        <f t="shared" si="159"/>
        <v>0</v>
      </c>
      <c r="Q378" s="151">
        <f t="shared" si="159"/>
        <v>0</v>
      </c>
      <c r="R378" s="151">
        <f t="shared" si="159"/>
        <v>0</v>
      </c>
      <c r="S378" s="151">
        <f t="shared" si="159"/>
        <v>0</v>
      </c>
      <c r="T378" s="151">
        <f t="shared" si="159"/>
        <v>0</v>
      </c>
      <c r="U378" s="151">
        <f t="shared" si="159"/>
        <v>0</v>
      </c>
      <c r="V378" s="151">
        <f t="shared" si="159"/>
        <v>0</v>
      </c>
      <c r="W378" s="151">
        <f t="shared" si="159"/>
        <v>0</v>
      </c>
      <c r="X378" s="151">
        <f t="shared" si="159"/>
        <v>0</v>
      </c>
      <c r="Y378" s="151">
        <f t="shared" si="159"/>
        <v>0</v>
      </c>
      <c r="Z378" s="151">
        <f t="shared" si="159"/>
        <v>0</v>
      </c>
    </row>
    <row r="379" spans="2:26" x14ac:dyDescent="0.35">
      <c r="B379" s="33" t="s">
        <v>421</v>
      </c>
      <c r="D379" s="48"/>
      <c r="E379" s="48"/>
      <c r="F379" s="151">
        <f>+IF(F359&gt;=10,0,F366)</f>
        <v>0</v>
      </c>
      <c r="G379" s="151">
        <f t="shared" ref="G379:Z379" si="160">+IF(G359&gt;=10,0,G366)</f>
        <v>0</v>
      </c>
      <c r="H379" s="151">
        <f t="shared" si="160"/>
        <v>0</v>
      </c>
      <c r="I379" s="151">
        <f t="shared" si="160"/>
        <v>0</v>
      </c>
      <c r="J379" s="151">
        <f t="shared" si="160"/>
        <v>0</v>
      </c>
      <c r="K379" s="151">
        <f t="shared" si="160"/>
        <v>0</v>
      </c>
      <c r="L379" s="151">
        <f t="shared" ca="1" si="160"/>
        <v>-39483198.021603368</v>
      </c>
      <c r="M379" s="151">
        <f t="shared" si="160"/>
        <v>0</v>
      </c>
      <c r="N379" s="151">
        <f t="shared" si="160"/>
        <v>0</v>
      </c>
      <c r="O379" s="151">
        <f t="shared" si="160"/>
        <v>0</v>
      </c>
      <c r="P379" s="151">
        <f t="shared" si="160"/>
        <v>0</v>
      </c>
      <c r="Q379" s="151">
        <f t="shared" si="160"/>
        <v>0</v>
      </c>
      <c r="R379" s="151">
        <f t="shared" si="160"/>
        <v>0</v>
      </c>
      <c r="S379" s="151">
        <f t="shared" si="160"/>
        <v>0</v>
      </c>
      <c r="T379" s="151">
        <f t="shared" si="160"/>
        <v>0</v>
      </c>
      <c r="U379" s="151">
        <f t="shared" si="160"/>
        <v>0</v>
      </c>
      <c r="V379" s="151">
        <f t="shared" si="160"/>
        <v>0</v>
      </c>
      <c r="W379" s="151">
        <f t="shared" si="160"/>
        <v>0</v>
      </c>
      <c r="X379" s="151">
        <f t="shared" si="160"/>
        <v>0</v>
      </c>
      <c r="Y379" s="151">
        <f t="shared" si="160"/>
        <v>0</v>
      </c>
      <c r="Z379" s="151">
        <f t="shared" si="160"/>
        <v>0</v>
      </c>
    </row>
    <row r="380" spans="2:26" x14ac:dyDescent="0.35">
      <c r="B380" s="138" t="s">
        <v>412</v>
      </c>
      <c r="C380" s="138"/>
      <c r="D380" s="139">
        <f t="shared" ref="D380" ca="1" si="161">+SUM(F380:Z380)</f>
        <v>211153941.28901657</v>
      </c>
      <c r="E380" s="139"/>
      <c r="F380" s="139">
        <f t="shared" ref="F380:Z380" ca="1" si="162">+SUM(F372:F379)</f>
        <v>-41214311.799794026</v>
      </c>
      <c r="G380" s="139">
        <f t="shared" ca="1" si="162"/>
        <v>-121738292.20531254</v>
      </c>
      <c r="H380" s="139">
        <f t="shared" ca="1" si="162"/>
        <v>-118245138.46514277</v>
      </c>
      <c r="I380" s="139">
        <f t="shared" ca="1" si="162"/>
        <v>10118863.162103865</v>
      </c>
      <c r="J380" s="139">
        <f t="shared" ca="1" si="162"/>
        <v>21798955.522720709</v>
      </c>
      <c r="K380" s="139">
        <f t="shared" ca="1" si="162"/>
        <v>22022347.206958685</v>
      </c>
      <c r="L380" s="139">
        <f t="shared" ca="1" si="162"/>
        <v>438411517.86748278</v>
      </c>
      <c r="M380" s="139">
        <f t="shared" ca="1" si="162"/>
        <v>0</v>
      </c>
      <c r="N380" s="139">
        <f t="shared" ca="1" si="162"/>
        <v>0</v>
      </c>
      <c r="O380" s="139">
        <f t="shared" ca="1" si="162"/>
        <v>0</v>
      </c>
      <c r="P380" s="139">
        <f t="shared" ca="1" si="162"/>
        <v>0</v>
      </c>
      <c r="Q380" s="139">
        <f t="shared" ca="1" si="162"/>
        <v>0</v>
      </c>
      <c r="R380" s="139">
        <f t="shared" ca="1" si="162"/>
        <v>0</v>
      </c>
      <c r="S380" s="139">
        <f t="shared" ca="1" si="162"/>
        <v>0</v>
      </c>
      <c r="T380" s="139">
        <f t="shared" ca="1" si="162"/>
        <v>0</v>
      </c>
      <c r="U380" s="139">
        <f t="shared" ca="1" si="162"/>
        <v>0</v>
      </c>
      <c r="V380" s="139">
        <f t="shared" ca="1" si="162"/>
        <v>0</v>
      </c>
      <c r="W380" s="139">
        <f t="shared" ca="1" si="162"/>
        <v>0</v>
      </c>
      <c r="X380" s="139">
        <f t="shared" ca="1" si="162"/>
        <v>0</v>
      </c>
      <c r="Y380" s="139">
        <f t="shared" ca="1" si="162"/>
        <v>0</v>
      </c>
      <c r="Z380" s="139">
        <f t="shared" ca="1" si="162"/>
        <v>0</v>
      </c>
    </row>
    <row r="382" spans="2:26" x14ac:dyDescent="0.35">
      <c r="B382" s="190" t="s">
        <v>427</v>
      </c>
      <c r="C382" s="190"/>
      <c r="D382" s="191">
        <f ca="1">+IRR(F380:Z380)</f>
        <v>0.13139993911386871</v>
      </c>
    </row>
    <row r="383" spans="2:26" x14ac:dyDescent="0.35">
      <c r="B383" s="194" t="s">
        <v>428</v>
      </c>
      <c r="C383" s="193"/>
      <c r="D383" s="228">
        <f ca="1">+D382/(1-Assumptions!$M$192)</f>
        <v>0.16632903685299835</v>
      </c>
    </row>
    <row r="385" spans="2:26" x14ac:dyDescent="0.35">
      <c r="B385" s="41" t="s">
        <v>425</v>
      </c>
      <c r="F385" s="151">
        <f ca="1">IFERROR(IF(YEAR(F357)&lt;=YEAR(Assumptions!$H$30),10%*(OFFSET(F373,0,-5))+5%*(OFFSET(F373,0,-7)),0),0)</f>
        <v>0</v>
      </c>
      <c r="G385" s="151">
        <f ca="1">IFERROR(IF(YEAR(G357)&lt;=YEAR(Assumptions!$H$30),10%*(OFFSET(G373,0,-5))+5%*(OFFSET(G373,0,-7)),0),0)</f>
        <v>0</v>
      </c>
      <c r="H385" s="151">
        <f ca="1">IFERROR(IF(YEAR(H357)&lt;=YEAR(Assumptions!$H$30),10%*(OFFSET(H373,0,-5))+5%*(OFFSET(H373,0,-7)),0),0)</f>
        <v>0</v>
      </c>
      <c r="I385" s="151">
        <f ca="1">IFERROR(IF(YEAR(I357)&lt;=YEAR(Assumptions!$H$30),10%*(OFFSET(I373,0,-5))+5%*(OFFSET(I373,0,-7)),0),0)</f>
        <v>0</v>
      </c>
      <c r="J385" s="151">
        <f ca="1">IFERROR(IF(YEAR(J357)&lt;=YEAR(Assumptions!$H$30),10%*(OFFSET(J373,0,-5))+5%*(OFFSET(J373,0,-7)),0),0)</f>
        <v>0</v>
      </c>
      <c r="K385" s="151">
        <f ca="1">IFERROR(IF(YEAR(K357)&lt;=YEAR(Assumptions!$H$30),10%*(OFFSET(K373,0,-5))+5%*(OFFSET(K373,0,-7)),0),0)</f>
        <v>1095570.313665411</v>
      </c>
      <c r="L385" s="151">
        <f ca="1">IFERROR(IF(YEAR(L357)&lt;=YEAR(Assumptions!$H$30),10%*(OFFSET(L373,0,-5))+5%*(OFFSET(L373,0,-7)),0),0)</f>
        <v>3236081.1852045106</v>
      </c>
      <c r="M385" s="151">
        <f ca="1">IFERROR(IF(YEAR(M357)&lt;=YEAR(Assumptions!$H$30),10%*(OFFSET(M373,0,-5))+5%*(OFFSET(M373,0,-7)),0),0)</f>
        <v>0</v>
      </c>
      <c r="N385" s="151">
        <f ca="1">IFERROR(IF(YEAR(N357)&lt;=YEAR(Assumptions!$H$30),10%*(OFFSET(N373,0,-5))+5%*(OFFSET(N373,0,-7)),0),0)</f>
        <v>0</v>
      </c>
      <c r="O385" s="151">
        <f ca="1">IFERROR(IF(YEAR(O357)&lt;=YEAR(Assumptions!$H$30),10%*(OFFSET(O373,0,-5))+5%*(OFFSET(O373,0,-7)),0),0)</f>
        <v>0</v>
      </c>
      <c r="P385" s="151">
        <f ca="1">IFERROR(IF(YEAR(P357)&lt;=YEAR(Assumptions!$H$30),10%*(OFFSET(P373,0,-5))+5%*(OFFSET(P373,0,-7)),0),0)</f>
        <v>0</v>
      </c>
      <c r="Q385" s="151">
        <f ca="1">IFERROR(IF(YEAR(Q357)&lt;=YEAR(Assumptions!$H$30),10%*(OFFSET(Q373,0,-5))+5%*(OFFSET(Q373,0,-7)),0),0)</f>
        <v>0</v>
      </c>
      <c r="R385" s="151">
        <f ca="1">IFERROR(IF(YEAR(R357)&lt;=YEAR(Assumptions!$H$30),10%*(OFFSET(R373,0,-5))+5%*(OFFSET(R373,0,-7)),0),0)</f>
        <v>0</v>
      </c>
      <c r="S385" s="151">
        <f ca="1">IFERROR(IF(YEAR(S357)&lt;=YEAR(Assumptions!$H$30),10%*(OFFSET(S373,0,-5))+5%*(OFFSET(S373,0,-7)),0),0)</f>
        <v>0</v>
      </c>
      <c r="T385" s="151">
        <f ca="1">IFERROR(IF(YEAR(T357)&lt;=YEAR(Assumptions!$H$30),10%*(OFFSET(T373,0,-5))+5%*(OFFSET(T373,0,-7)),0),0)</f>
        <v>0</v>
      </c>
      <c r="U385" s="151">
        <f ca="1">IFERROR(IF(YEAR(U357)&lt;=YEAR(Assumptions!$H$30),10%*(OFFSET(U373,0,-5))+5%*(OFFSET(U373,0,-7)),0),0)</f>
        <v>0</v>
      </c>
      <c r="V385" s="151">
        <f ca="1">IFERROR(IF(YEAR(V357)&lt;=YEAR(Assumptions!$H$30),10%*(OFFSET(V373,0,-5))+5%*(OFFSET(V373,0,-7)),0),0)</f>
        <v>0</v>
      </c>
      <c r="W385" s="151">
        <f ca="1">IFERROR(IF(YEAR(W357)&lt;=YEAR(Assumptions!$H$30),10%*(OFFSET(W373,0,-5))+5%*(OFFSET(W373,0,-7)),0),0)</f>
        <v>0</v>
      </c>
      <c r="X385" s="151">
        <f ca="1">IFERROR(IF(YEAR(X357)&lt;=YEAR(Assumptions!$H$30),10%*(OFFSET(X373,0,-5))+5%*(OFFSET(X373,0,-7)),0),0)</f>
        <v>0</v>
      </c>
      <c r="Y385" s="151">
        <f ca="1">IFERROR(IF(YEAR(Y357)&lt;=YEAR(Assumptions!$H$30),10%*(OFFSET(Y373,0,-5))+5%*(OFFSET(Y373,0,-7)),0),0)</f>
        <v>0</v>
      </c>
      <c r="Z385" s="151">
        <f ca="1">IFERROR(IF(YEAR(Z357)&lt;=YEAR(Assumptions!$H$30),10%*(OFFSET(Z373,0,-5))+5%*(OFFSET(Z373,0,-7)),0),0)</f>
        <v>0</v>
      </c>
    </row>
    <row r="387" spans="2:26" x14ac:dyDescent="0.35">
      <c r="B387" s="148" t="s">
        <v>405</v>
      </c>
    </row>
    <row r="388" spans="2:26" x14ac:dyDescent="0.35">
      <c r="B388" s="33" t="s">
        <v>406</v>
      </c>
      <c r="D388" s="48">
        <f ca="1">+SUM(F388:Z388)</f>
        <v>1381204566.3312078</v>
      </c>
      <c r="E388" s="48"/>
      <c r="F388" s="34">
        <v>0</v>
      </c>
      <c r="G388" s="34">
        <f ca="1">+F395</f>
        <v>52170014.936448134</v>
      </c>
      <c r="H388" s="34">
        <f t="shared" ref="H388:Z388" ca="1" si="163">+G395</f>
        <v>206269118.99380577</v>
      </c>
      <c r="I388" s="34">
        <f t="shared" ca="1" si="163"/>
        <v>285529393.96911931</v>
      </c>
      <c r="J388" s="34">
        <f t="shared" ca="1" si="163"/>
        <v>285529393.96911925</v>
      </c>
      <c r="K388" s="34">
        <f t="shared" ca="1" si="163"/>
        <v>279078679.47727823</v>
      </c>
      <c r="L388" s="34">
        <f t="shared" ca="1" si="163"/>
        <v>272627964.9854371</v>
      </c>
      <c r="M388" s="34">
        <f t="shared" ca="1" si="163"/>
        <v>0</v>
      </c>
      <c r="N388" s="34">
        <f t="shared" ca="1" si="163"/>
        <v>0</v>
      </c>
      <c r="O388" s="34">
        <f t="shared" ca="1" si="163"/>
        <v>0</v>
      </c>
      <c r="P388" s="34">
        <f t="shared" ca="1" si="163"/>
        <v>0</v>
      </c>
      <c r="Q388" s="34">
        <f t="shared" ca="1" si="163"/>
        <v>0</v>
      </c>
      <c r="R388" s="34">
        <f t="shared" ca="1" si="163"/>
        <v>0</v>
      </c>
      <c r="S388" s="34">
        <f t="shared" ca="1" si="163"/>
        <v>0</v>
      </c>
      <c r="T388" s="34">
        <f t="shared" ca="1" si="163"/>
        <v>0</v>
      </c>
      <c r="U388" s="34">
        <f t="shared" ca="1" si="163"/>
        <v>0</v>
      </c>
      <c r="V388" s="34">
        <f t="shared" ca="1" si="163"/>
        <v>0</v>
      </c>
      <c r="W388" s="34">
        <f t="shared" ca="1" si="163"/>
        <v>0</v>
      </c>
      <c r="X388" s="34">
        <f t="shared" ca="1" si="163"/>
        <v>0</v>
      </c>
      <c r="Y388" s="34">
        <f t="shared" ca="1" si="163"/>
        <v>0</v>
      </c>
      <c r="Z388" s="34">
        <f t="shared" ca="1" si="163"/>
        <v>0</v>
      </c>
    </row>
    <row r="389" spans="2:26" x14ac:dyDescent="0.35">
      <c r="B389" s="33" t="s">
        <v>404</v>
      </c>
      <c r="D389" s="48">
        <f t="shared" ref="D389:D394" ca="1" si="164">+SUM(F389:Z389)</f>
        <v>285529393.96911931</v>
      </c>
      <c r="E389" s="48"/>
      <c r="F389" s="151">
        <f ca="1">-F360</f>
        <v>52170014.936448134</v>
      </c>
      <c r="G389" s="151">
        <f t="shared" ref="G389:Z389" ca="1" si="165">-G360</f>
        <v>154099104.05735764</v>
      </c>
      <c r="H389" s="151">
        <f t="shared" ca="1" si="165"/>
        <v>79260274.975313485</v>
      </c>
      <c r="I389" s="151">
        <f t="shared" ca="1" si="165"/>
        <v>0</v>
      </c>
      <c r="J389" s="151">
        <f t="shared" ca="1" si="165"/>
        <v>0</v>
      </c>
      <c r="K389" s="151">
        <f t="shared" ca="1" si="165"/>
        <v>0</v>
      </c>
      <c r="L389" s="151">
        <f t="shared" ca="1" si="165"/>
        <v>0</v>
      </c>
      <c r="M389" s="151">
        <f t="shared" ca="1" si="165"/>
        <v>0</v>
      </c>
      <c r="N389" s="151">
        <f t="shared" ca="1" si="165"/>
        <v>0</v>
      </c>
      <c r="O389" s="151">
        <f t="shared" ca="1" si="165"/>
        <v>0</v>
      </c>
      <c r="P389" s="151">
        <f t="shared" ca="1" si="165"/>
        <v>0</v>
      </c>
      <c r="Q389" s="151">
        <f t="shared" ca="1" si="165"/>
        <v>0</v>
      </c>
      <c r="R389" s="151">
        <f t="shared" ca="1" si="165"/>
        <v>0</v>
      </c>
      <c r="S389" s="151">
        <f t="shared" ca="1" si="165"/>
        <v>0</v>
      </c>
      <c r="T389" s="151">
        <f t="shared" ca="1" si="165"/>
        <v>0</v>
      </c>
      <c r="U389" s="151">
        <f t="shared" ca="1" si="165"/>
        <v>0</v>
      </c>
      <c r="V389" s="151">
        <f t="shared" ca="1" si="165"/>
        <v>0</v>
      </c>
      <c r="W389" s="151">
        <f t="shared" ca="1" si="165"/>
        <v>0</v>
      </c>
      <c r="X389" s="151">
        <f t="shared" ca="1" si="165"/>
        <v>0</v>
      </c>
      <c r="Y389" s="151">
        <f t="shared" ca="1" si="165"/>
        <v>0</v>
      </c>
      <c r="Z389" s="151">
        <f t="shared" ca="1" si="165"/>
        <v>0</v>
      </c>
    </row>
    <row r="390" spans="2:26" x14ac:dyDescent="0.35">
      <c r="B390" s="33" t="s">
        <v>251</v>
      </c>
      <c r="D390" s="48">
        <f t="shared" ca="1" si="164"/>
        <v>93137281.62419191</v>
      </c>
      <c r="E390" s="48"/>
      <c r="F390" s="151">
        <f ca="1">IF(F357&lt;=Assumptions!$H$30,F321,0)</f>
        <v>0</v>
      </c>
      <c r="G390" s="151">
        <f ca="1">IF(G357&lt;=Assumptions!$H$30,G321,0)</f>
        <v>0</v>
      </c>
      <c r="H390" s="151">
        <f ca="1">IF(H357&lt;=Assumptions!$H$30,H321,0)</f>
        <v>0</v>
      </c>
      <c r="I390" s="151">
        <f ca="1">IF(I357&lt;=Assumptions!$H$30,I321,0)</f>
        <v>12808687.546966918</v>
      </c>
      <c r="J390" s="151">
        <f ca="1">IF(J357&lt;=Assumptions!$H$30,J321,0)</f>
        <v>25878867.695486184</v>
      </c>
      <c r="K390" s="151">
        <f ca="1">IF(K357&lt;=Assumptions!$H$30,K321,0)</f>
        <v>26161641.979331724</v>
      </c>
      <c r="L390" s="151">
        <f ca="1">IF(L357&lt;=Assumptions!$H$30,L321,0)</f>
        <v>28288084.402407091</v>
      </c>
      <c r="M390" s="151">
        <f>IF(M357&lt;=Assumptions!$H$30,M321,0)</f>
        <v>0</v>
      </c>
      <c r="N390" s="151">
        <f>IF(N357&lt;=Assumptions!$H$30,N321,0)</f>
        <v>0</v>
      </c>
      <c r="O390" s="151">
        <f>IF(O357&lt;=Assumptions!$H$30,O321,0)</f>
        <v>0</v>
      </c>
      <c r="P390" s="151">
        <f>IF(P357&lt;=Assumptions!$H$30,P321,0)</f>
        <v>0</v>
      </c>
      <c r="Q390" s="151">
        <f>IF(Q357&lt;=Assumptions!$H$30,Q321,0)</f>
        <v>0</v>
      </c>
      <c r="R390" s="151">
        <f>IF(R357&lt;=Assumptions!$H$30,R321,0)</f>
        <v>0</v>
      </c>
      <c r="S390" s="151">
        <f>IF(S357&lt;=Assumptions!$H$30,S321,0)</f>
        <v>0</v>
      </c>
      <c r="T390" s="151">
        <f>IF(T357&lt;=Assumptions!$H$30,T321,0)</f>
        <v>0</v>
      </c>
      <c r="U390" s="151">
        <f>IF(U357&lt;=Assumptions!$H$30,U321,0)</f>
        <v>0</v>
      </c>
      <c r="V390" s="151">
        <f>IF(V357&lt;=Assumptions!$H$30,V321,0)</f>
        <v>0</v>
      </c>
      <c r="W390" s="151">
        <f>IF(W357&lt;=Assumptions!$H$30,W321,0)</f>
        <v>0</v>
      </c>
      <c r="X390" s="151">
        <f>IF(X357&lt;=Assumptions!$H$30,X321,0)</f>
        <v>0</v>
      </c>
      <c r="Y390" s="151">
        <f>IF(Y357&lt;=Assumptions!$H$30,Y321,0)</f>
        <v>0</v>
      </c>
      <c r="Z390" s="151">
        <f>IF(Z357&lt;=Assumptions!$H$30,Z321,0)</f>
        <v>0</v>
      </c>
    </row>
    <row r="391" spans="2:26" x14ac:dyDescent="0.35">
      <c r="B391" s="33" t="s">
        <v>416</v>
      </c>
      <c r="D391" s="48">
        <f t="shared" ca="1" si="164"/>
        <v>-19352143.47552317</v>
      </c>
      <c r="E391" s="48"/>
      <c r="F391" s="151">
        <f>-IF(AND(F357&gt;Assumptions!$H$26,F357&lt;=Assumptions!$H$30),Budget!$I$82*Assumptions!$M$194/Assumptions!$M$193,0)</f>
        <v>0</v>
      </c>
      <c r="G391" s="151">
        <f>-IF(AND(G357&gt;Assumptions!$H$26,G357&lt;=Assumptions!$H$30),Budget!$I$82*Assumptions!$M$194/Assumptions!$M$193,0)</f>
        <v>0</v>
      </c>
      <c r="H391" s="151">
        <f>-IF(AND(H357&gt;Assumptions!$H$26,H357&lt;=Assumptions!$H$30),Budget!$I$82*Assumptions!$M$194/Assumptions!$M$193,0)</f>
        <v>0</v>
      </c>
      <c r="I391" s="151">
        <f>-IF(AND(I357&gt;Assumptions!$H$26,I357&lt;=Assumptions!$H$30),Budget!$I$82*Assumptions!$M$194/Assumptions!$M$193,0)</f>
        <v>0</v>
      </c>
      <c r="J391" s="151">
        <f ca="1">-IF(AND(J357&gt;Assumptions!$H$26,J357&lt;=Assumptions!$H$30),Budget!$I$82*Assumptions!$M$194/Assumptions!$M$193,0)</f>
        <v>-6450714.4918410564</v>
      </c>
      <c r="K391" s="151">
        <f ca="1">-IF(AND(K357&gt;Assumptions!$H$26,K357&lt;=Assumptions!$H$30),Budget!$I$82*Assumptions!$M$194/Assumptions!$M$193,0)</f>
        <v>-6450714.4918410564</v>
      </c>
      <c r="L391" s="151">
        <f ca="1">-IF(AND(L357&gt;Assumptions!$H$26,L357&lt;=Assumptions!$H$30),Budget!$I$82*Assumptions!$M$194/Assumptions!$M$193,0)</f>
        <v>-6450714.4918410564</v>
      </c>
      <c r="M391" s="151">
        <f>-IF(AND(M357&gt;Assumptions!$H$26,M357&lt;=Assumptions!$H$30),Budget!$I$82*Assumptions!$M$194/Assumptions!$M$193,0)</f>
        <v>0</v>
      </c>
      <c r="N391" s="151">
        <f>-IF(AND(N357&gt;Assumptions!$H$26,N357&lt;=Assumptions!$H$30),Budget!$I$82*Assumptions!$M$194/Assumptions!$M$193,0)</f>
        <v>0</v>
      </c>
      <c r="O391" s="151">
        <f>-IF(AND(O357&gt;Assumptions!$H$26,O357&lt;=Assumptions!$H$30),Budget!$I$82*Assumptions!$M$194/Assumptions!$M$193,0)</f>
        <v>0</v>
      </c>
      <c r="P391" s="151">
        <f>-IF(AND(P357&gt;Assumptions!$H$26,P357&lt;=Assumptions!$H$30),Budget!$I$82*Assumptions!$M$194/Assumptions!$M$193,0)</f>
        <v>0</v>
      </c>
      <c r="Q391" s="151">
        <f>-IF(AND(Q357&gt;Assumptions!$H$26,Q357&lt;=Assumptions!$H$30),Budget!$I$82*Assumptions!$M$194/Assumptions!$M$193,0)</f>
        <v>0</v>
      </c>
      <c r="R391" s="151">
        <f>-IF(AND(R357&gt;Assumptions!$H$26,R357&lt;=Assumptions!$H$30),Budget!$I$82*Assumptions!$M$194/Assumptions!$M$193,0)</f>
        <v>0</v>
      </c>
      <c r="S391" s="151">
        <f>-IF(AND(S357&gt;Assumptions!$H$26,S357&lt;=Assumptions!$H$30),Budget!$I$82*Assumptions!$M$194/Assumptions!$M$193,0)</f>
        <v>0</v>
      </c>
      <c r="T391" s="151">
        <f>-IF(AND(T357&gt;Assumptions!$H$26,T357&lt;=Assumptions!$H$30),Budget!$I$82*Assumptions!$M$194/Assumptions!$M$193,0)</f>
        <v>0</v>
      </c>
      <c r="U391" s="151">
        <f>-IF(AND(U357&gt;Assumptions!$H$26,U357&lt;=Assumptions!$H$30),Budget!$I$82*Assumptions!$M$194/Assumptions!$M$193,0)</f>
        <v>0</v>
      </c>
      <c r="V391" s="151">
        <f>-IF(AND(V357&gt;Assumptions!$H$26,V357&lt;=Assumptions!$H$30),Budget!$I$82*Assumptions!$M$194/Assumptions!$M$193,0)</f>
        <v>0</v>
      </c>
      <c r="W391" s="151">
        <f>-IF(AND(W357&gt;Assumptions!$H$26,W357&lt;=Assumptions!$H$30),Budget!$I$82*Assumptions!$M$194/Assumptions!$M$193,0)</f>
        <v>0</v>
      </c>
      <c r="X391" s="151">
        <f>-IF(AND(X357&gt;Assumptions!$H$26,X357&lt;=Assumptions!$H$30),Budget!$I$82*Assumptions!$M$194/Assumptions!$M$193,0)</f>
        <v>0</v>
      </c>
      <c r="Y391" s="151">
        <f>-IF(AND(Y357&gt;Assumptions!$H$26,Y357&lt;=Assumptions!$H$30),Budget!$I$82*Assumptions!$M$194/Assumptions!$M$193,0)</f>
        <v>0</v>
      </c>
      <c r="Z391" s="151">
        <f>-IF(AND(Z357&gt;Assumptions!$H$26,Z357&lt;=Assumptions!$H$30),Budget!$I$82*Assumptions!$M$194/Assumptions!$M$193,0)</f>
        <v>0</v>
      </c>
    </row>
    <row r="392" spans="2:26" x14ac:dyDescent="0.35">
      <c r="B392" s="33" t="s">
        <v>407</v>
      </c>
      <c r="D392" s="48">
        <f t="shared" ca="1" si="164"/>
        <v>-93137281.62419191</v>
      </c>
      <c r="E392" s="48"/>
      <c r="F392" s="151">
        <f ca="1">-F364</f>
        <v>0</v>
      </c>
      <c r="G392" s="151">
        <f t="shared" ref="G392:Z393" ca="1" si="166">-G364</f>
        <v>0</v>
      </c>
      <c r="H392" s="151">
        <f t="shared" ca="1" si="166"/>
        <v>0</v>
      </c>
      <c r="I392" s="151">
        <f t="shared" ca="1" si="166"/>
        <v>-12808687.546966918</v>
      </c>
      <c r="J392" s="151">
        <f t="shared" ca="1" si="166"/>
        <v>-25878867.695486184</v>
      </c>
      <c r="K392" s="151">
        <f t="shared" ca="1" si="166"/>
        <v>-26161641.979331724</v>
      </c>
      <c r="L392" s="151">
        <f t="shared" ca="1" si="166"/>
        <v>-28288084.402407091</v>
      </c>
      <c r="M392" s="151">
        <f t="shared" si="166"/>
        <v>0</v>
      </c>
      <c r="N392" s="151">
        <f t="shared" si="166"/>
        <v>0</v>
      </c>
      <c r="O392" s="151">
        <f t="shared" si="166"/>
        <v>0</v>
      </c>
      <c r="P392" s="151">
        <f t="shared" si="166"/>
        <v>0</v>
      </c>
      <c r="Q392" s="151">
        <f t="shared" si="166"/>
        <v>0</v>
      </c>
      <c r="R392" s="151">
        <f t="shared" si="166"/>
        <v>0</v>
      </c>
      <c r="S392" s="151">
        <f t="shared" si="166"/>
        <v>0</v>
      </c>
      <c r="T392" s="151">
        <f t="shared" si="166"/>
        <v>0</v>
      </c>
      <c r="U392" s="151">
        <f t="shared" si="166"/>
        <v>0</v>
      </c>
      <c r="V392" s="151">
        <f t="shared" si="166"/>
        <v>0</v>
      </c>
      <c r="W392" s="151">
        <f t="shared" si="166"/>
        <v>0</v>
      </c>
      <c r="X392" s="151">
        <f t="shared" si="166"/>
        <v>0</v>
      </c>
      <c r="Y392" s="151">
        <f t="shared" si="166"/>
        <v>0</v>
      </c>
      <c r="Z392" s="151">
        <f t="shared" si="166"/>
        <v>0</v>
      </c>
    </row>
    <row r="393" spans="2:26" x14ac:dyDescent="0.35">
      <c r="B393" s="33" t="s">
        <v>409</v>
      </c>
      <c r="D393" s="48">
        <f t="shared" ca="1" si="164"/>
        <v>-454192479.16789788</v>
      </c>
      <c r="E393" s="48"/>
      <c r="F393" s="151">
        <f>-F365</f>
        <v>0</v>
      </c>
      <c r="G393" s="151">
        <f t="shared" si="166"/>
        <v>0</v>
      </c>
      <c r="H393" s="151">
        <f t="shared" si="166"/>
        <v>0</v>
      </c>
      <c r="I393" s="151">
        <f t="shared" si="166"/>
        <v>0</v>
      </c>
      <c r="J393" s="151">
        <f t="shared" si="166"/>
        <v>0</v>
      </c>
      <c r="K393" s="151">
        <f t="shared" si="166"/>
        <v>0</v>
      </c>
      <c r="L393" s="151">
        <f t="shared" ca="1" si="166"/>
        <v>-454192479.16789788</v>
      </c>
      <c r="M393" s="151">
        <f t="shared" si="166"/>
        <v>0</v>
      </c>
      <c r="N393" s="151">
        <f t="shared" si="166"/>
        <v>0</v>
      </c>
      <c r="O393" s="151">
        <f t="shared" si="166"/>
        <v>0</v>
      </c>
      <c r="P393" s="151">
        <f t="shared" si="166"/>
        <v>0</v>
      </c>
      <c r="Q393" s="151">
        <f t="shared" si="166"/>
        <v>0</v>
      </c>
      <c r="R393" s="151">
        <f t="shared" si="166"/>
        <v>0</v>
      </c>
      <c r="S393" s="151">
        <f t="shared" si="166"/>
        <v>0</v>
      </c>
      <c r="T393" s="151">
        <f t="shared" si="166"/>
        <v>0</v>
      </c>
      <c r="U393" s="151">
        <f t="shared" si="166"/>
        <v>0</v>
      </c>
      <c r="V393" s="151">
        <f t="shared" si="166"/>
        <v>0</v>
      </c>
      <c r="W393" s="151">
        <f t="shared" si="166"/>
        <v>0</v>
      </c>
      <c r="X393" s="151">
        <f t="shared" si="166"/>
        <v>0</v>
      </c>
      <c r="Y393" s="151">
        <f t="shared" si="166"/>
        <v>0</v>
      </c>
      <c r="Z393" s="151">
        <f t="shared" si="166"/>
        <v>0</v>
      </c>
    </row>
    <row r="394" spans="2:26" x14ac:dyDescent="0.35">
      <c r="B394" s="33" t="s">
        <v>420</v>
      </c>
      <c r="D394" s="48">
        <f t="shared" ca="1" si="164"/>
        <v>188015228.67430177</v>
      </c>
      <c r="E394" s="48"/>
      <c r="F394" s="151">
        <f>-IF(YEAR(F357)=YEAR(Assumptions!$H$30),SUM(F388:F393),0)</f>
        <v>0</v>
      </c>
      <c r="G394" s="151">
        <f>-IF(YEAR(G357)=YEAR(Assumptions!$H$30),SUM(G388:G393),0)</f>
        <v>0</v>
      </c>
      <c r="H394" s="151">
        <f>-IF(YEAR(H357)=YEAR(Assumptions!$H$30),SUM(H388:H393),0)</f>
        <v>0</v>
      </c>
      <c r="I394" s="151">
        <f>-IF(YEAR(I357)=YEAR(Assumptions!$H$30),SUM(I388:I393),0)</f>
        <v>0</v>
      </c>
      <c r="J394" s="151">
        <f>-IF(YEAR(J357)=YEAR(Assumptions!$H$30),SUM(J388:J393),0)</f>
        <v>0</v>
      </c>
      <c r="K394" s="151">
        <f>-IF(YEAR(K357)=YEAR(Assumptions!$H$30),SUM(K388:K393),0)</f>
        <v>0</v>
      </c>
      <c r="L394" s="151">
        <f ca="1">-IF(YEAR(L357)=YEAR(Assumptions!$H$30),SUM(L388:L393),0)</f>
        <v>188015228.67430183</v>
      </c>
      <c r="M394" s="151">
        <f>-IF(YEAR(M357)=YEAR(Assumptions!$H$30),SUM(M388:M393),0)</f>
        <v>0</v>
      </c>
      <c r="N394" s="151">
        <f>-IF(YEAR(N357)=YEAR(Assumptions!$H$30),SUM(N388:N393),0)</f>
        <v>0</v>
      </c>
      <c r="O394" s="151">
        <f>-IF(YEAR(O357)=YEAR(Assumptions!$H$30),SUM(O388:O393),0)</f>
        <v>0</v>
      </c>
      <c r="P394" s="151">
        <f>-IF(YEAR(P357)=YEAR(Assumptions!$H$30),SUM(P388:P393),0)</f>
        <v>0</v>
      </c>
      <c r="Q394" s="151">
        <f>-IF(YEAR(Q357)=YEAR(Assumptions!$H$30),SUM(Q388:Q393),0)</f>
        <v>0</v>
      </c>
      <c r="R394" s="151">
        <f>-IF(YEAR(R357)=YEAR(Assumptions!$H$30),SUM(R388:R393),0)</f>
        <v>0</v>
      </c>
      <c r="S394" s="151">
        <f>-IF(YEAR(S357)=YEAR(Assumptions!$H$30),SUM(S388:S393),0)</f>
        <v>0</v>
      </c>
      <c r="T394" s="151">
        <f>-IF(YEAR(T357)=YEAR(Assumptions!$H$30),SUM(T388:T393),0)</f>
        <v>0</v>
      </c>
      <c r="U394" s="151">
        <f>-IF(YEAR(U357)=YEAR(Assumptions!$H$30),SUM(U388:U393),0)</f>
        <v>0</v>
      </c>
      <c r="V394" s="151">
        <f>-IF(YEAR(V357)=YEAR(Assumptions!$H$30),SUM(V388:V393),0)</f>
        <v>0</v>
      </c>
      <c r="W394" s="151">
        <f>-IF(YEAR(W357)=YEAR(Assumptions!$H$30),SUM(W388:W393),0)</f>
        <v>0</v>
      </c>
      <c r="X394" s="151">
        <f>-IF(YEAR(X357)=YEAR(Assumptions!$H$30),SUM(X388:X393),0)</f>
        <v>0</v>
      </c>
      <c r="Y394" s="151">
        <f>-IF(YEAR(Y357)=YEAR(Assumptions!$H$30),SUM(Y388:Y393),0)</f>
        <v>0</v>
      </c>
      <c r="Z394" s="151">
        <f>-IF(YEAR(Z357)=YEAR(Assumptions!$H$30),SUM(Z388:Z393),0)</f>
        <v>0</v>
      </c>
    </row>
    <row r="395" spans="2:26" x14ac:dyDescent="0.35">
      <c r="B395" s="137" t="s">
        <v>408</v>
      </c>
      <c r="C395" s="137"/>
      <c r="D395" s="36">
        <f t="shared" ref="D395" ca="1" si="167">+SUM(F395:Z395)</f>
        <v>1381204566.3312078</v>
      </c>
      <c r="E395" s="129"/>
      <c r="F395" s="129">
        <f ca="1">+SUM(F388:F394)</f>
        <v>52170014.936448134</v>
      </c>
      <c r="G395" s="129">
        <f t="shared" ref="G395:Z395" ca="1" si="168">+SUM(G388:G394)</f>
        <v>206269118.99380577</v>
      </c>
      <c r="H395" s="129">
        <f t="shared" ca="1" si="168"/>
        <v>285529393.96911925</v>
      </c>
      <c r="I395" s="129">
        <f t="shared" ca="1" si="168"/>
        <v>285529393.96911931</v>
      </c>
      <c r="J395" s="129">
        <f t="shared" ca="1" si="168"/>
        <v>279078679.47727817</v>
      </c>
      <c r="K395" s="129">
        <f t="shared" ca="1" si="168"/>
        <v>272627964.98543715</v>
      </c>
      <c r="L395" s="129">
        <f t="shared" ca="1" si="168"/>
        <v>0</v>
      </c>
      <c r="M395" s="129">
        <f t="shared" ca="1" si="168"/>
        <v>0</v>
      </c>
      <c r="N395" s="129">
        <f t="shared" ca="1" si="168"/>
        <v>0</v>
      </c>
      <c r="O395" s="129">
        <f t="shared" ca="1" si="168"/>
        <v>0</v>
      </c>
      <c r="P395" s="129">
        <f t="shared" ca="1" si="168"/>
        <v>0</v>
      </c>
      <c r="Q395" s="129">
        <f t="shared" ca="1" si="168"/>
        <v>0</v>
      </c>
      <c r="R395" s="129">
        <f t="shared" ca="1" si="168"/>
        <v>0</v>
      </c>
      <c r="S395" s="129">
        <f t="shared" ca="1" si="168"/>
        <v>0</v>
      </c>
      <c r="T395" s="129">
        <f t="shared" ca="1" si="168"/>
        <v>0</v>
      </c>
      <c r="U395" s="129">
        <f t="shared" ca="1" si="168"/>
        <v>0</v>
      </c>
      <c r="V395" s="129">
        <f t="shared" ca="1" si="168"/>
        <v>0</v>
      </c>
      <c r="W395" s="129">
        <f t="shared" ca="1" si="168"/>
        <v>0</v>
      </c>
      <c r="X395" s="129">
        <f t="shared" ca="1" si="168"/>
        <v>0</v>
      </c>
      <c r="Y395" s="129">
        <f t="shared" ca="1" si="168"/>
        <v>0</v>
      </c>
      <c r="Z395" s="129">
        <f t="shared" ca="1" si="168"/>
        <v>0</v>
      </c>
    </row>
    <row r="397" spans="2:26" x14ac:dyDescent="0.35">
      <c r="B397" s="37" t="s">
        <v>643</v>
      </c>
      <c r="C397" s="38"/>
      <c r="D397" s="38"/>
      <c r="E397" s="38"/>
      <c r="F397" s="136">
        <f>+F357</f>
        <v>45657</v>
      </c>
      <c r="G397" s="136">
        <f t="shared" ref="G397:Z397" si="169">+G357</f>
        <v>46022</v>
      </c>
      <c r="H397" s="136">
        <f t="shared" si="169"/>
        <v>46387</v>
      </c>
      <c r="I397" s="136">
        <f t="shared" si="169"/>
        <v>46752</v>
      </c>
      <c r="J397" s="136">
        <f t="shared" si="169"/>
        <v>47118</v>
      </c>
      <c r="K397" s="136">
        <f t="shared" si="169"/>
        <v>47483</v>
      </c>
      <c r="L397" s="136">
        <f t="shared" si="169"/>
        <v>47848</v>
      </c>
      <c r="M397" s="136">
        <f t="shared" si="169"/>
        <v>48213</v>
      </c>
      <c r="N397" s="136">
        <f t="shared" si="169"/>
        <v>48579</v>
      </c>
      <c r="O397" s="136">
        <f t="shared" si="169"/>
        <v>48944</v>
      </c>
      <c r="P397" s="136">
        <f t="shared" si="169"/>
        <v>49309</v>
      </c>
      <c r="Q397" s="136">
        <f t="shared" si="169"/>
        <v>49674</v>
      </c>
      <c r="R397" s="136">
        <f t="shared" si="169"/>
        <v>50040</v>
      </c>
      <c r="S397" s="136">
        <f t="shared" si="169"/>
        <v>50405</v>
      </c>
      <c r="T397" s="136">
        <f t="shared" si="169"/>
        <v>50770</v>
      </c>
      <c r="U397" s="136">
        <f t="shared" si="169"/>
        <v>51135</v>
      </c>
      <c r="V397" s="136">
        <f t="shared" si="169"/>
        <v>51501</v>
      </c>
      <c r="W397" s="136">
        <f t="shared" si="169"/>
        <v>51866</v>
      </c>
      <c r="X397" s="136">
        <f t="shared" si="169"/>
        <v>52231</v>
      </c>
      <c r="Y397" s="136">
        <f t="shared" si="169"/>
        <v>52596</v>
      </c>
      <c r="Z397" s="136">
        <f t="shared" si="169"/>
        <v>52962</v>
      </c>
    </row>
    <row r="398" spans="2:26" x14ac:dyDescent="0.35">
      <c r="B398" s="119"/>
    </row>
    <row r="399" spans="2:26" x14ac:dyDescent="0.35">
      <c r="B399" s="148" t="s">
        <v>653</v>
      </c>
      <c r="F399" s="148">
        <v>0</v>
      </c>
      <c r="G399" s="148">
        <f>+F399+1</f>
        <v>1</v>
      </c>
      <c r="H399" s="148">
        <f t="shared" ref="H399:Z399" si="170">+G399+1</f>
        <v>2</v>
      </c>
      <c r="I399" s="148">
        <f t="shared" si="170"/>
        <v>3</v>
      </c>
      <c r="J399" s="148">
        <f t="shared" si="170"/>
        <v>4</v>
      </c>
      <c r="K399" s="148">
        <f t="shared" si="170"/>
        <v>5</v>
      </c>
      <c r="L399" s="148">
        <f t="shared" si="170"/>
        <v>6</v>
      </c>
      <c r="M399" s="148">
        <f t="shared" si="170"/>
        <v>7</v>
      </c>
      <c r="N399" s="148">
        <f t="shared" si="170"/>
        <v>8</v>
      </c>
      <c r="O399" s="148">
        <f t="shared" si="170"/>
        <v>9</v>
      </c>
      <c r="P399" s="148">
        <f t="shared" si="170"/>
        <v>10</v>
      </c>
      <c r="Q399" s="148">
        <f t="shared" si="170"/>
        <v>11</v>
      </c>
      <c r="R399" s="148">
        <f t="shared" si="170"/>
        <v>12</v>
      </c>
      <c r="S399" s="148">
        <f t="shared" si="170"/>
        <v>13</v>
      </c>
      <c r="T399" s="148">
        <f t="shared" si="170"/>
        <v>14</v>
      </c>
      <c r="U399" s="148">
        <f t="shared" si="170"/>
        <v>15</v>
      </c>
      <c r="V399" s="148">
        <f t="shared" si="170"/>
        <v>16</v>
      </c>
      <c r="W399" s="148">
        <f t="shared" si="170"/>
        <v>17</v>
      </c>
      <c r="X399" s="148">
        <f t="shared" si="170"/>
        <v>18</v>
      </c>
      <c r="Y399" s="148">
        <f t="shared" si="170"/>
        <v>19</v>
      </c>
      <c r="Z399" s="148">
        <f t="shared" si="170"/>
        <v>20</v>
      </c>
    </row>
    <row r="400" spans="2:26" x14ac:dyDescent="0.35">
      <c r="B400" s="33" t="s">
        <v>404</v>
      </c>
      <c r="D400" s="48"/>
      <c r="E400" s="48"/>
      <c r="F400" s="34">
        <f ca="1">+F$307</f>
        <v>-52170014.936448134</v>
      </c>
      <c r="G400" s="34">
        <f t="shared" ref="G400:Z400" ca="1" si="171">+G$307</f>
        <v>-24811685.468110405</v>
      </c>
      <c r="H400" s="34">
        <f t="shared" ca="1" si="171"/>
        <v>0</v>
      </c>
      <c r="I400" s="34">
        <f t="shared" ca="1" si="171"/>
        <v>0</v>
      </c>
      <c r="J400" s="34">
        <f t="shared" ca="1" si="171"/>
        <v>0</v>
      </c>
      <c r="K400" s="34">
        <f t="shared" ca="1" si="171"/>
        <v>0</v>
      </c>
      <c r="L400" s="34">
        <f t="shared" ca="1" si="171"/>
        <v>0</v>
      </c>
      <c r="M400" s="34">
        <f t="shared" ca="1" si="171"/>
        <v>0</v>
      </c>
      <c r="N400" s="34">
        <f t="shared" ca="1" si="171"/>
        <v>0</v>
      </c>
      <c r="O400" s="34">
        <f t="shared" ca="1" si="171"/>
        <v>0</v>
      </c>
      <c r="P400" s="34">
        <f t="shared" ca="1" si="171"/>
        <v>0</v>
      </c>
      <c r="Q400" s="34">
        <f t="shared" ca="1" si="171"/>
        <v>0</v>
      </c>
      <c r="R400" s="34">
        <f t="shared" ca="1" si="171"/>
        <v>0</v>
      </c>
      <c r="S400" s="34">
        <f t="shared" ca="1" si="171"/>
        <v>0</v>
      </c>
      <c r="T400" s="34">
        <f t="shared" ca="1" si="171"/>
        <v>0</v>
      </c>
      <c r="U400" s="34">
        <f t="shared" ca="1" si="171"/>
        <v>0</v>
      </c>
      <c r="V400" s="34">
        <f t="shared" ca="1" si="171"/>
        <v>0</v>
      </c>
      <c r="W400" s="34">
        <f t="shared" ca="1" si="171"/>
        <v>0</v>
      </c>
      <c r="X400" s="34">
        <f t="shared" ca="1" si="171"/>
        <v>0</v>
      </c>
      <c r="Y400" s="34">
        <f t="shared" ca="1" si="171"/>
        <v>0</v>
      </c>
      <c r="Z400" s="34">
        <f t="shared" ca="1" si="171"/>
        <v>0</v>
      </c>
    </row>
    <row r="401" spans="2:26" x14ac:dyDescent="0.35">
      <c r="B401" s="33" t="s">
        <v>422</v>
      </c>
      <c r="D401" s="48"/>
      <c r="E401" s="48"/>
      <c r="F401" s="151">
        <v>0</v>
      </c>
      <c r="G401" s="151">
        <v>0</v>
      </c>
      <c r="H401" s="151">
        <v>0</v>
      </c>
      <c r="I401" s="151">
        <v>0</v>
      </c>
      <c r="J401" s="151">
        <v>0</v>
      </c>
      <c r="K401" s="151">
        <v>0</v>
      </c>
      <c r="L401" s="151">
        <v>0</v>
      </c>
      <c r="M401" s="151">
        <v>0</v>
      </c>
      <c r="N401" s="151">
        <v>0</v>
      </c>
      <c r="O401" s="151">
        <v>0</v>
      </c>
      <c r="P401" s="151">
        <v>0</v>
      </c>
      <c r="Q401" s="151">
        <v>0</v>
      </c>
      <c r="R401" s="151">
        <v>0</v>
      </c>
      <c r="S401" s="151">
        <v>0</v>
      </c>
      <c r="T401" s="151">
        <v>0</v>
      </c>
      <c r="U401" s="151">
        <v>0</v>
      </c>
      <c r="V401" s="151">
        <v>0</v>
      </c>
      <c r="W401" s="151">
        <v>0</v>
      </c>
      <c r="X401" s="151">
        <v>0</v>
      </c>
      <c r="Y401" s="151">
        <v>0</v>
      </c>
      <c r="Z401" s="151">
        <v>0</v>
      </c>
    </row>
    <row r="402" spans="2:26" x14ac:dyDescent="0.35">
      <c r="B402" s="33" t="s">
        <v>423</v>
      </c>
      <c r="D402" s="48"/>
      <c r="E402" s="48"/>
      <c r="F402" s="151">
        <v>0</v>
      </c>
      <c r="G402" s="151">
        <v>0</v>
      </c>
      <c r="H402" s="151">
        <v>0</v>
      </c>
      <c r="I402" s="151">
        <v>0</v>
      </c>
      <c r="J402" s="151">
        <v>0</v>
      </c>
      <c r="K402" s="151">
        <v>0</v>
      </c>
      <c r="L402" s="151">
        <v>0</v>
      </c>
      <c r="M402" s="151">
        <v>0</v>
      </c>
      <c r="N402" s="151">
        <v>0</v>
      </c>
      <c r="O402" s="151">
        <v>0</v>
      </c>
      <c r="P402" s="151">
        <v>0</v>
      </c>
      <c r="Q402" s="151">
        <v>0</v>
      </c>
      <c r="R402" s="151">
        <v>0</v>
      </c>
      <c r="S402" s="151">
        <v>0</v>
      </c>
      <c r="T402" s="151">
        <v>0</v>
      </c>
      <c r="U402" s="151">
        <v>0</v>
      </c>
      <c r="V402" s="151">
        <v>0</v>
      </c>
      <c r="W402" s="151">
        <v>0</v>
      </c>
      <c r="X402" s="151">
        <v>0</v>
      </c>
      <c r="Y402" s="151">
        <v>0</v>
      </c>
      <c r="Z402" s="151">
        <v>0</v>
      </c>
    </row>
    <row r="403" spans="2:26" x14ac:dyDescent="0.35">
      <c r="B403" s="33" t="s">
        <v>648</v>
      </c>
      <c r="D403" s="48"/>
      <c r="E403" s="48"/>
      <c r="F403" s="151">
        <f ca="1">-SUM(F430:F431)*Assumptions!$M$192</f>
        <v>0</v>
      </c>
      <c r="G403" s="151">
        <f ca="1">-SUM(G430:G431)*Assumptions!$M$192</f>
        <v>0</v>
      </c>
      <c r="H403" s="151">
        <f ca="1">-SUM(H430:H431)*Assumptions!$M$192</f>
        <v>0</v>
      </c>
      <c r="I403" s="151">
        <f ca="1">-SUM(I430:I431)*Assumptions!$M$192</f>
        <v>1082453.1731693491</v>
      </c>
      <c r="J403" s="151">
        <f ca="1">-SUM(J430:J431)*Assumptions!$M$192</f>
        <v>-345198.51573213568</v>
      </c>
      <c r="K403" s="151">
        <f ca="1">-SUM(K430:K431)*Assumptions!$M$192</f>
        <v>-444586.66990369878</v>
      </c>
      <c r="L403" s="151">
        <f ca="1">-SUM(L430:L431)*Assumptions!$M$192</f>
        <v>-933745.49436018837</v>
      </c>
      <c r="M403" s="151">
        <f>-SUM(M430:M431)*Assumptions!$M$192</f>
        <v>0</v>
      </c>
      <c r="N403" s="151">
        <f>-SUM(N430:N431)*Assumptions!$M$192</f>
        <v>0</v>
      </c>
      <c r="O403" s="151">
        <f>-SUM(O430:O431)*Assumptions!$M$192</f>
        <v>0</v>
      </c>
      <c r="P403" s="151">
        <f>-SUM(P430:P431)*Assumptions!$M$192</f>
        <v>0</v>
      </c>
      <c r="Q403" s="151">
        <f>-SUM(Q430:Q431)*Assumptions!$M$192</f>
        <v>0</v>
      </c>
      <c r="R403" s="151">
        <f>-SUM(R430:R431)*Assumptions!$M$192</f>
        <v>0</v>
      </c>
      <c r="S403" s="151">
        <f>-SUM(S430:S431)*Assumptions!$M$192</f>
        <v>0</v>
      </c>
      <c r="T403" s="151">
        <f>-SUM(T430:T431)*Assumptions!$M$192</f>
        <v>0</v>
      </c>
      <c r="U403" s="151">
        <f>-SUM(U430:U431)*Assumptions!$M$192</f>
        <v>0</v>
      </c>
      <c r="V403" s="151">
        <f>-SUM(V430:V431)*Assumptions!$M$192</f>
        <v>0</v>
      </c>
      <c r="W403" s="151">
        <f>-SUM(W430:W431)*Assumptions!$M$192</f>
        <v>0</v>
      </c>
      <c r="X403" s="151">
        <f>-SUM(X430:X431)*Assumptions!$M$192</f>
        <v>0</v>
      </c>
      <c r="Y403" s="151">
        <f>-SUM(Y430:Y431)*Assumptions!$M$192</f>
        <v>0</v>
      </c>
      <c r="Z403" s="151">
        <f>-SUM(Z430:Z431)*Assumptions!$M$192</f>
        <v>0</v>
      </c>
    </row>
    <row r="404" spans="2:26" x14ac:dyDescent="0.35">
      <c r="B404" s="33" t="s">
        <v>650</v>
      </c>
      <c r="D404" s="48"/>
      <c r="E404" s="48"/>
      <c r="F404" s="151">
        <f ca="1">+IF(YEAR(F$140)&lt;=YEAR(Assumptions!$H$30),F267+F222+F152,0)</f>
        <v>0</v>
      </c>
      <c r="G404" s="151">
        <f ca="1">+IF(YEAR(G$140)&lt;=YEAR(Assumptions!$H$30),G267+G222+G152,0)</f>
        <v>0</v>
      </c>
      <c r="H404" s="151">
        <f ca="1">+IF(YEAR(H$140)&lt;=YEAR(Assumptions!$H$30),H267+H222+H152,0)</f>
        <v>0</v>
      </c>
      <c r="I404" s="151">
        <f ca="1">+IF(YEAR(I$140)&lt;=YEAR(Assumptions!$H$30),I267+I222+I152,0)</f>
        <v>-10042908.735790785</v>
      </c>
      <c r="J404" s="151">
        <f ca="1">+IF(YEAR(J$140)&lt;=YEAR(Assumptions!$H$30),J267+J222+J152,0)</f>
        <v>5163707.0895398315</v>
      </c>
      <c r="K404" s="151">
        <f ca="1">+IF(YEAR(K$140)&lt;=YEAR(Assumptions!$H$30),K267+K222+K152,0)</f>
        <v>5446481.3733853698</v>
      </c>
      <c r="L404" s="151">
        <f ca="1">+IF(YEAR(L$140)&lt;=YEAR(Assumptions!$H$30),L267+L222+L152,0)</f>
        <v>7572923.7964607403</v>
      </c>
      <c r="M404" s="151">
        <f>+IF(YEAR(M$140)&lt;=YEAR(Assumptions!$H$30),M267+M222+M152,0)</f>
        <v>0</v>
      </c>
      <c r="N404" s="151">
        <f>+IF(YEAR(N$140)&lt;=YEAR(Assumptions!$H$30),N267+N222+N152,0)</f>
        <v>0</v>
      </c>
      <c r="O404" s="151">
        <f>+IF(YEAR(O$140)&lt;=YEAR(Assumptions!$H$30),O267+O222+O152,0)</f>
        <v>0</v>
      </c>
      <c r="P404" s="151">
        <f>+IF(YEAR(P$140)&lt;=YEAR(Assumptions!$H$30),P267+P222+P152,0)</f>
        <v>0</v>
      </c>
      <c r="Q404" s="151">
        <f>+IF(YEAR(Q$140)&lt;=YEAR(Assumptions!$H$30),Q267+Q222+Q152,0)</f>
        <v>0</v>
      </c>
      <c r="R404" s="151">
        <f>+IF(YEAR(R$140)&lt;=YEAR(Assumptions!$H$30),R267+R222+R152,0)</f>
        <v>0</v>
      </c>
      <c r="S404" s="151">
        <f>+IF(YEAR(S$140)&lt;=YEAR(Assumptions!$H$30),S267+S222+S152,0)</f>
        <v>0</v>
      </c>
      <c r="T404" s="151">
        <f>+IF(YEAR(T$140)&lt;=YEAR(Assumptions!$H$30),T267+T222+T152,0)</f>
        <v>0</v>
      </c>
      <c r="U404" s="151">
        <f>+IF(YEAR(U$140)&lt;=YEAR(Assumptions!$H$30),U267+U222+U152,0)</f>
        <v>0</v>
      </c>
      <c r="V404" s="151">
        <f>+IF(YEAR(V$140)&lt;=YEAR(Assumptions!$H$30),V267+V222+V152,0)</f>
        <v>0</v>
      </c>
      <c r="W404" s="151">
        <f>+IF(YEAR(W$140)&lt;=YEAR(Assumptions!$H$30),W267+W222+W152,0)</f>
        <v>0</v>
      </c>
      <c r="X404" s="151">
        <f>+IF(YEAR(X$140)&lt;=YEAR(Assumptions!$H$30),X267+X222+X152,0)</f>
        <v>0</v>
      </c>
      <c r="Y404" s="151">
        <f>+IF(YEAR(Y$140)&lt;=YEAR(Assumptions!$H$30),Y267+Y222+Y152,0)</f>
        <v>0</v>
      </c>
      <c r="Z404" s="151">
        <f>+IF(YEAR(Z$140)&lt;=YEAR(Assumptions!$H$30),Z267+Z222+Z152,0)</f>
        <v>0</v>
      </c>
    </row>
    <row r="405" spans="2:26" x14ac:dyDescent="0.35">
      <c r="B405" s="33" t="s">
        <v>649</v>
      </c>
      <c r="D405" s="48"/>
      <c r="E405" s="48"/>
      <c r="F405" s="151">
        <f>-IF(YEAR(F$140)&lt;=YEAR(Assumptions!$H$30),F433,0)</f>
        <v>0</v>
      </c>
      <c r="G405" s="151">
        <f>-IF(YEAR(G$140)&lt;=YEAR(Assumptions!$H$30),G433,0)</f>
        <v>0</v>
      </c>
      <c r="H405" s="151">
        <f>-IF(YEAR(H$140)&lt;=YEAR(Assumptions!$H$30),H433,0)</f>
        <v>0</v>
      </c>
      <c r="I405" s="151">
        <f ca="1">-IF(YEAR(I$140)&lt;=YEAR(Assumptions!$H$30),I433,0)</f>
        <v>46705947.854801834</v>
      </c>
      <c r="J405" s="151">
        <f>-IF(YEAR(J$140)&lt;=YEAR(Assumptions!$H$30),J433,0)</f>
        <v>0</v>
      </c>
      <c r="K405" s="151">
        <f>-IF(YEAR(K$140)&lt;=YEAR(Assumptions!$H$30),K433,0)</f>
        <v>0</v>
      </c>
      <c r="L405" s="151">
        <f ca="1">-IF(YEAR(L$140)&lt;=YEAR(Assumptions!$H$30),L433,0)</f>
        <v>183486339.92872947</v>
      </c>
      <c r="M405" s="151">
        <f>-IF(YEAR(M$140)&lt;=YEAR(Assumptions!$H$30),M433,0)</f>
        <v>0</v>
      </c>
      <c r="N405" s="151">
        <f>-IF(YEAR(N$140)&lt;=YEAR(Assumptions!$H$30),N433,0)</f>
        <v>0</v>
      </c>
      <c r="O405" s="151">
        <f>-IF(YEAR(O$140)&lt;=YEAR(Assumptions!$H$30),O433,0)</f>
        <v>0</v>
      </c>
      <c r="P405" s="151">
        <f>-IF(YEAR(P$140)&lt;=YEAR(Assumptions!$H$30),P433,0)</f>
        <v>0</v>
      </c>
      <c r="Q405" s="151">
        <f>-IF(YEAR(Q$140)&lt;=YEAR(Assumptions!$H$30),Q433,0)</f>
        <v>0</v>
      </c>
      <c r="R405" s="151">
        <f>-IF(YEAR(R$140)&lt;=YEAR(Assumptions!$H$30),R433,0)</f>
        <v>0</v>
      </c>
      <c r="S405" s="151">
        <f>-IF(YEAR(S$140)&lt;=YEAR(Assumptions!$H$30),S433,0)</f>
        <v>0</v>
      </c>
      <c r="T405" s="151">
        <f>-IF(YEAR(T$140)&lt;=YEAR(Assumptions!$H$30),T433,0)</f>
        <v>0</v>
      </c>
      <c r="U405" s="151">
        <f>-IF(YEAR(U$140)&lt;=YEAR(Assumptions!$H$30),U433,0)</f>
        <v>0</v>
      </c>
      <c r="V405" s="151">
        <f>-IF(YEAR(V$140)&lt;=YEAR(Assumptions!$H$30),V433,0)</f>
        <v>0</v>
      </c>
      <c r="W405" s="151">
        <f>-IF(YEAR(W$140)&lt;=YEAR(Assumptions!$H$30),W433,0)</f>
        <v>0</v>
      </c>
      <c r="X405" s="151">
        <f>-IF(YEAR(X$140)&lt;=YEAR(Assumptions!$H$30),X433,0)</f>
        <v>0</v>
      </c>
      <c r="Y405" s="151">
        <f>-IF(YEAR(Y$140)&lt;=YEAR(Assumptions!$H$30),Y433,0)</f>
        <v>0</v>
      </c>
      <c r="Z405" s="151">
        <f>-IF(YEAR(Z$140)&lt;=YEAR(Assumptions!$H$30),Z433,0)</f>
        <v>0</v>
      </c>
    </row>
    <row r="406" spans="2:26" x14ac:dyDescent="0.35">
      <c r="B406" s="33" t="s">
        <v>421</v>
      </c>
      <c r="D406" s="48"/>
      <c r="E406" s="48"/>
      <c r="F406" s="151">
        <f>-F434*Assumptions!$M$192</f>
        <v>0</v>
      </c>
      <c r="G406" s="151">
        <f>-G434*Assumptions!$M$192</f>
        <v>0</v>
      </c>
      <c r="H406" s="151">
        <f>-H434*Assumptions!$M$192</f>
        <v>0</v>
      </c>
      <c r="I406" s="151">
        <f>-I434*Assumptions!$M$192</f>
        <v>0</v>
      </c>
      <c r="J406" s="151">
        <f>-J434*Assumptions!$M$192</f>
        <v>0</v>
      </c>
      <c r="K406" s="151">
        <f>-K434*Assumptions!$M$192</f>
        <v>0</v>
      </c>
      <c r="L406" s="151">
        <f ca="1">-L434*Assumptions!$M$192</f>
        <v>-33242588.582712609</v>
      </c>
      <c r="M406" s="151">
        <f>-M434*Assumptions!$M$192</f>
        <v>0</v>
      </c>
      <c r="N406" s="151">
        <f>-N434*Assumptions!$M$192</f>
        <v>0</v>
      </c>
      <c r="O406" s="151">
        <f>-O434*Assumptions!$M$192</f>
        <v>0</v>
      </c>
      <c r="P406" s="151">
        <f>-P434*Assumptions!$M$192</f>
        <v>0</v>
      </c>
      <c r="Q406" s="151">
        <f>-Q434*Assumptions!$M$192</f>
        <v>0</v>
      </c>
      <c r="R406" s="151">
        <f>-R434*Assumptions!$M$192</f>
        <v>0</v>
      </c>
      <c r="S406" s="151">
        <f>-S434*Assumptions!$M$192</f>
        <v>0</v>
      </c>
      <c r="T406" s="151">
        <f>-T434*Assumptions!$M$192</f>
        <v>0</v>
      </c>
      <c r="U406" s="151">
        <f>-U434*Assumptions!$M$192</f>
        <v>0</v>
      </c>
      <c r="V406" s="151">
        <f>-V434*Assumptions!$M$192</f>
        <v>0</v>
      </c>
      <c r="W406" s="151">
        <f>-W434*Assumptions!$M$192</f>
        <v>0</v>
      </c>
      <c r="X406" s="151">
        <f>-X434*Assumptions!$M$192</f>
        <v>0</v>
      </c>
      <c r="Y406" s="151">
        <f>-Y434*Assumptions!$M$192</f>
        <v>0</v>
      </c>
      <c r="Z406" s="151">
        <f>-Z434*Assumptions!$M$192</f>
        <v>0</v>
      </c>
    </row>
    <row r="407" spans="2:26" x14ac:dyDescent="0.35">
      <c r="B407" s="138" t="s">
        <v>413</v>
      </c>
      <c r="C407" s="138"/>
      <c r="D407" s="139">
        <f t="shared" ref="D407" ca="1" si="172">+SUM(F407:Z407)</f>
        <v>127467124.81302886</v>
      </c>
      <c r="E407" s="139"/>
      <c r="F407" s="139">
        <f t="shared" ref="F407:Z407" ca="1" si="173">+SUM(F400:F406)</f>
        <v>-52170014.936448134</v>
      </c>
      <c r="G407" s="139">
        <f t="shared" ca="1" si="173"/>
        <v>-24811685.468110405</v>
      </c>
      <c r="H407" s="139">
        <f t="shared" ca="1" si="173"/>
        <v>0</v>
      </c>
      <c r="I407" s="139">
        <f t="shared" ca="1" si="173"/>
        <v>37745492.292180397</v>
      </c>
      <c r="J407" s="139">
        <f t="shared" ca="1" si="173"/>
        <v>4818508.5738076959</v>
      </c>
      <c r="K407" s="139">
        <f t="shared" ca="1" si="173"/>
        <v>5001894.7034816714</v>
      </c>
      <c r="L407" s="139">
        <f t="shared" ca="1" si="173"/>
        <v>156882929.64811739</v>
      </c>
      <c r="M407" s="139">
        <f t="shared" ca="1" si="173"/>
        <v>0</v>
      </c>
      <c r="N407" s="139">
        <f t="shared" ca="1" si="173"/>
        <v>0</v>
      </c>
      <c r="O407" s="139">
        <f t="shared" ca="1" si="173"/>
        <v>0</v>
      </c>
      <c r="P407" s="139">
        <f t="shared" ca="1" si="173"/>
        <v>0</v>
      </c>
      <c r="Q407" s="139">
        <f t="shared" ca="1" si="173"/>
        <v>0</v>
      </c>
      <c r="R407" s="139">
        <f t="shared" ca="1" si="173"/>
        <v>0</v>
      </c>
      <c r="S407" s="139">
        <f t="shared" ca="1" si="173"/>
        <v>0</v>
      </c>
      <c r="T407" s="139">
        <f t="shared" ca="1" si="173"/>
        <v>0</v>
      </c>
      <c r="U407" s="139">
        <f t="shared" ca="1" si="173"/>
        <v>0</v>
      </c>
      <c r="V407" s="139">
        <f t="shared" ca="1" si="173"/>
        <v>0</v>
      </c>
      <c r="W407" s="139">
        <f t="shared" ca="1" si="173"/>
        <v>0</v>
      </c>
      <c r="X407" s="139">
        <f t="shared" ca="1" si="173"/>
        <v>0</v>
      </c>
      <c r="Y407" s="139">
        <f t="shared" ca="1" si="173"/>
        <v>0</v>
      </c>
      <c r="Z407" s="139">
        <f t="shared" ca="1" si="173"/>
        <v>0</v>
      </c>
    </row>
    <row r="408" spans="2:26" x14ac:dyDescent="0.35">
      <c r="B408" s="119"/>
    </row>
    <row r="409" spans="2:26" x14ac:dyDescent="0.35">
      <c r="B409" s="226" t="s">
        <v>651</v>
      </c>
      <c r="C409" s="226"/>
      <c r="D409" s="227">
        <f ca="1">+IRR(F407:Z407)</f>
        <v>0.21959135972448207</v>
      </c>
      <c r="F409" s="554"/>
      <c r="G409" s="34"/>
    </row>
    <row r="410" spans="2:26" x14ac:dyDescent="0.35">
      <c r="B410" s="119"/>
      <c r="D410" s="108"/>
    </row>
    <row r="411" spans="2:26" x14ac:dyDescent="0.35">
      <c r="B411" s="148" t="s">
        <v>652</v>
      </c>
      <c r="F411" s="148">
        <f>+F399</f>
        <v>0</v>
      </c>
      <c r="G411" s="148">
        <f t="shared" ref="G411:Z412" si="174">+G399</f>
        <v>1</v>
      </c>
      <c r="H411" s="148">
        <f t="shared" si="174"/>
        <v>2</v>
      </c>
      <c r="I411" s="148">
        <f t="shared" si="174"/>
        <v>3</v>
      </c>
      <c r="J411" s="148">
        <f t="shared" si="174"/>
        <v>4</v>
      </c>
      <c r="K411" s="148">
        <f t="shared" si="174"/>
        <v>5</v>
      </c>
      <c r="L411" s="148">
        <f t="shared" si="174"/>
        <v>6</v>
      </c>
      <c r="M411" s="148">
        <f t="shared" si="174"/>
        <v>7</v>
      </c>
      <c r="N411" s="148">
        <f t="shared" si="174"/>
        <v>8</v>
      </c>
      <c r="O411" s="148">
        <f t="shared" si="174"/>
        <v>9</v>
      </c>
      <c r="P411" s="148">
        <f t="shared" si="174"/>
        <v>10</v>
      </c>
      <c r="Q411" s="148">
        <f t="shared" si="174"/>
        <v>11</v>
      </c>
      <c r="R411" s="148">
        <f t="shared" si="174"/>
        <v>12</v>
      </c>
      <c r="S411" s="148">
        <f t="shared" si="174"/>
        <v>13</v>
      </c>
      <c r="T411" s="148">
        <f t="shared" si="174"/>
        <v>14</v>
      </c>
      <c r="U411" s="148">
        <f t="shared" si="174"/>
        <v>15</v>
      </c>
      <c r="V411" s="148">
        <f t="shared" si="174"/>
        <v>16</v>
      </c>
      <c r="W411" s="148">
        <f t="shared" si="174"/>
        <v>17</v>
      </c>
      <c r="X411" s="148">
        <f t="shared" si="174"/>
        <v>18</v>
      </c>
      <c r="Y411" s="148">
        <f t="shared" si="174"/>
        <v>19</v>
      </c>
      <c r="Z411" s="148">
        <f t="shared" si="174"/>
        <v>20</v>
      </c>
    </row>
    <row r="412" spans="2:26" x14ac:dyDescent="0.35">
      <c r="B412" s="33" t="s">
        <v>404</v>
      </c>
      <c r="D412" s="48"/>
      <c r="E412" s="48"/>
      <c r="F412" s="34">
        <f ca="1">+F400</f>
        <v>-52170014.936448134</v>
      </c>
      <c r="G412" s="34">
        <f t="shared" ca="1" si="174"/>
        <v>-24811685.468110405</v>
      </c>
      <c r="H412" s="34">
        <f t="shared" ca="1" si="174"/>
        <v>0</v>
      </c>
      <c r="I412" s="34">
        <f t="shared" ca="1" si="174"/>
        <v>0</v>
      </c>
      <c r="J412" s="34">
        <f t="shared" ca="1" si="174"/>
        <v>0</v>
      </c>
      <c r="K412" s="34">
        <f t="shared" ca="1" si="174"/>
        <v>0</v>
      </c>
      <c r="L412" s="34">
        <f t="shared" ca="1" si="174"/>
        <v>0</v>
      </c>
      <c r="M412" s="34">
        <f t="shared" ca="1" si="174"/>
        <v>0</v>
      </c>
      <c r="N412" s="34">
        <f t="shared" ca="1" si="174"/>
        <v>0</v>
      </c>
      <c r="O412" s="34">
        <f t="shared" ca="1" si="174"/>
        <v>0</v>
      </c>
      <c r="P412" s="34">
        <f t="shared" ca="1" si="174"/>
        <v>0</v>
      </c>
      <c r="Q412" s="34">
        <f t="shared" ca="1" si="174"/>
        <v>0</v>
      </c>
      <c r="R412" s="34">
        <f t="shared" ca="1" si="174"/>
        <v>0</v>
      </c>
      <c r="S412" s="34">
        <f t="shared" ca="1" si="174"/>
        <v>0</v>
      </c>
      <c r="T412" s="34">
        <f t="shared" ca="1" si="174"/>
        <v>0</v>
      </c>
      <c r="U412" s="34">
        <f t="shared" ca="1" si="174"/>
        <v>0</v>
      </c>
      <c r="V412" s="34">
        <f t="shared" ca="1" si="174"/>
        <v>0</v>
      </c>
      <c r="W412" s="34">
        <f t="shared" ca="1" si="174"/>
        <v>0</v>
      </c>
      <c r="X412" s="34">
        <f t="shared" ca="1" si="174"/>
        <v>0</v>
      </c>
      <c r="Y412" s="34">
        <f t="shared" ca="1" si="174"/>
        <v>0</v>
      </c>
      <c r="Z412" s="34">
        <f t="shared" ca="1" si="174"/>
        <v>0</v>
      </c>
    </row>
    <row r="413" spans="2:26" x14ac:dyDescent="0.35">
      <c r="B413" s="33" t="s">
        <v>422</v>
      </c>
      <c r="D413" s="48"/>
      <c r="E413" s="48"/>
      <c r="F413" s="151">
        <f ca="1">-F412*Assumptions!$M$192</f>
        <v>10955703.136654109</v>
      </c>
      <c r="G413" s="151">
        <f ca="1">-G412*Assumptions!$M$192</f>
        <v>5210453.9483031845</v>
      </c>
      <c r="H413" s="151">
        <f ca="1">-H412*Assumptions!$M$192</f>
        <v>0</v>
      </c>
      <c r="I413" s="151">
        <f ca="1">-I412*Assumptions!$M$192</f>
        <v>0</v>
      </c>
      <c r="J413" s="151">
        <f ca="1">-J412*Assumptions!$M$192</f>
        <v>0</v>
      </c>
      <c r="K413" s="151">
        <f ca="1">-K412*Assumptions!$M$192</f>
        <v>0</v>
      </c>
      <c r="L413" s="151">
        <f ca="1">-L412*Assumptions!$M$192</f>
        <v>0</v>
      </c>
      <c r="M413" s="151">
        <f ca="1">-M412*Assumptions!$M$192</f>
        <v>0</v>
      </c>
      <c r="N413" s="151">
        <f ca="1">-N412*Assumptions!$M$192</f>
        <v>0</v>
      </c>
      <c r="O413" s="151">
        <f ca="1">-O412*Assumptions!$M$192</f>
        <v>0</v>
      </c>
      <c r="P413" s="151">
        <f ca="1">-P412*Assumptions!$M$192</f>
        <v>0</v>
      </c>
      <c r="Q413" s="151">
        <f ca="1">-Q412*Assumptions!$M$192</f>
        <v>0</v>
      </c>
      <c r="R413" s="151">
        <f ca="1">-R412*Assumptions!$M$192</f>
        <v>0</v>
      </c>
      <c r="S413" s="151">
        <f ca="1">-S412*Assumptions!$M$192</f>
        <v>0</v>
      </c>
      <c r="T413" s="151">
        <f ca="1">-T412*Assumptions!$M$192</f>
        <v>0</v>
      </c>
      <c r="U413" s="151">
        <f ca="1">-U412*Assumptions!$M$192</f>
        <v>0</v>
      </c>
      <c r="V413" s="151">
        <f ca="1">-V412*Assumptions!$M$192</f>
        <v>0</v>
      </c>
      <c r="W413" s="151">
        <f ca="1">-W412*Assumptions!$M$192</f>
        <v>0</v>
      </c>
      <c r="X413" s="151">
        <f ca="1">-X412*Assumptions!$M$192</f>
        <v>0</v>
      </c>
      <c r="Y413" s="151">
        <f ca="1">-Y412*Assumptions!$M$192</f>
        <v>0</v>
      </c>
      <c r="Z413" s="151">
        <f ca="1">-Z412*Assumptions!$M$192</f>
        <v>0</v>
      </c>
    </row>
    <row r="414" spans="2:26" x14ac:dyDescent="0.35">
      <c r="B414" s="33" t="s">
        <v>423</v>
      </c>
      <c r="D414" s="48"/>
      <c r="E414" s="48"/>
      <c r="F414" s="151">
        <f ca="1">IFERROR(-IF(YEAR(F397)&lt;MIN(YEAR(Assumptions!$H$30),2026),(OFFSET(F413,0,-10)),IF(YEAR(F397)=MIN(YEAR(Assumptions!$H$30),2026),SUM($E$413:F$413)-SUM($E$414:E$414),0)),0)</f>
        <v>0</v>
      </c>
      <c r="G414" s="151">
        <f ca="1">IFERROR(-IF(YEAR(G397)&lt;MIN(YEAR(Assumptions!$H$30),2026),(OFFSET(G413,0,-10)),IF(YEAR(G397)=MIN(YEAR(Assumptions!$H$30),2026),SUM($E$413:G$413)-SUM($E$414:F$414),0)),0)</f>
        <v>0</v>
      </c>
      <c r="H414" s="151">
        <f ca="1">IFERROR(-IF(YEAR(H397)&lt;MIN(YEAR(Assumptions!$H$30),2026),(OFFSET(H413,0,-10)),IF(YEAR(H397)=MIN(YEAR(Assumptions!$H$30),2026),SUM($E$413:H$413)-SUM($E$414:G$414),0)),0)</f>
        <v>-16166157.084957294</v>
      </c>
      <c r="I414" s="151">
        <f ca="1">IFERROR(-IF(YEAR(I397)&lt;MIN(YEAR(Assumptions!$H$30),2026),(OFFSET(I413,0,-10)),IF(YEAR(I397)=MIN(YEAR(Assumptions!$H$30),2026),SUM($E$413:I$413)-SUM($E$414:H$414),0)),0)</f>
        <v>0</v>
      </c>
      <c r="J414" s="151">
        <f ca="1">IFERROR(-IF(YEAR(J397)&lt;MIN(YEAR(Assumptions!$H$30),2026),(OFFSET(J413,0,-10)),IF(YEAR(J397)=MIN(YEAR(Assumptions!$H$30),2026),SUM($E$413:J$413)-SUM($E$414:I$414),0)),0)</f>
        <v>0</v>
      </c>
      <c r="K414" s="151">
        <f ca="1">IFERROR(-IF(YEAR(K397)&lt;MIN(YEAR(Assumptions!$H$30),2026),(OFFSET(K413,0,-10)),IF(YEAR(K397)=MIN(YEAR(Assumptions!$H$30),2026),SUM($E$413:K$413)-SUM($E$414:J$414),0)),0)</f>
        <v>0</v>
      </c>
      <c r="L414" s="151">
        <f ca="1">IFERROR(-IF(YEAR(L397)&lt;MIN(YEAR(Assumptions!$H$30),2026),(OFFSET(L413,0,-10)),IF(YEAR(L397)=MIN(YEAR(Assumptions!$H$30),2026),SUM($E$413:L$413)-SUM($E$414:K$414),0)),0)</f>
        <v>0</v>
      </c>
      <c r="M414" s="151">
        <f ca="1">IFERROR(-IF(YEAR(M397)&lt;MIN(YEAR(Assumptions!$H$30),2026),(OFFSET(M413,0,-10)),IF(YEAR(M397)=MIN(YEAR(Assumptions!$H$30),2026),SUM($E$413:M$413)-SUM($E$414:L$414),0)),0)</f>
        <v>0</v>
      </c>
      <c r="N414" s="151">
        <f ca="1">IFERROR(-IF(YEAR(N397)&lt;MIN(YEAR(Assumptions!$H$30),2026),(OFFSET(N413,0,-10)),IF(YEAR(N397)=MIN(YEAR(Assumptions!$H$30),2026),SUM($E$413:N$413)-SUM($E$414:M$414),0)),0)</f>
        <v>0</v>
      </c>
      <c r="O414" s="151">
        <f ca="1">IFERROR(-IF(YEAR(O397)&lt;MIN(YEAR(Assumptions!$H$30),2026),(OFFSET(O413,0,-10)),IF(YEAR(O397)=MIN(YEAR(Assumptions!$H$30),2026),SUM($E$413:O$413)-SUM($E$414:N$414),0)),0)</f>
        <v>0</v>
      </c>
      <c r="P414" s="151">
        <f ca="1">IFERROR(-IF(YEAR(P397)&lt;MIN(YEAR(Assumptions!$H$30),2026),(OFFSET(P413,0,-10)),IF(YEAR(P397)=MIN(YEAR(Assumptions!$H$30),2026),SUM($E$413:P$413)-SUM($E$414:O$414),0)),0)</f>
        <v>0</v>
      </c>
      <c r="Q414" s="151">
        <f ca="1">IFERROR(-IF(YEAR(Q397)&lt;MIN(YEAR(Assumptions!$H$30),2026),(OFFSET(Q413,0,-10)),IF(YEAR(Q397)=MIN(YEAR(Assumptions!$H$30),2026),SUM($E$413:Q$413)-SUM($E$414:P$414),0)),0)</f>
        <v>0</v>
      </c>
      <c r="R414" s="151">
        <f ca="1">IFERROR(-IF(YEAR(R397)&lt;MIN(YEAR(Assumptions!$H$30),2026),(OFFSET(R413,0,-10)),IF(YEAR(R397)=MIN(YEAR(Assumptions!$H$30),2026),SUM($E$413:R$413)-SUM($E$414:Q$414),0)),0)</f>
        <v>0</v>
      </c>
      <c r="S414" s="151">
        <f ca="1">IFERROR(-IF(YEAR(S397)&lt;MIN(YEAR(Assumptions!$H$30),2026),(OFFSET(S413,0,-10)),IF(YEAR(S397)=MIN(YEAR(Assumptions!$H$30),2026),SUM($E$413:S$413)-SUM($E$414:R$414),0)),0)</f>
        <v>0</v>
      </c>
      <c r="T414" s="151">
        <f ca="1">IFERROR(-IF(YEAR(T397)&lt;MIN(YEAR(Assumptions!$H$30),2026),(OFFSET(T413,0,-10)),IF(YEAR(T397)=MIN(YEAR(Assumptions!$H$30),2026),SUM($E$413:T$413)-SUM($E$414:S$414),0)),0)</f>
        <v>0</v>
      </c>
      <c r="U414" s="151">
        <f ca="1">IFERROR(-IF(YEAR(U397)&lt;MIN(YEAR(Assumptions!$H$30),2026),(OFFSET(U413,0,-10)),IF(YEAR(U397)=MIN(YEAR(Assumptions!$H$30),2026),SUM($E$413:U$413)-SUM($E$414:T$414),0)),0)</f>
        <v>0</v>
      </c>
      <c r="V414" s="151">
        <f ca="1">IFERROR(-IF(YEAR(V397)&lt;MIN(YEAR(Assumptions!$H$30),2026),(OFFSET(V413,0,-10)),IF(YEAR(V397)=MIN(YEAR(Assumptions!$H$30),2026),SUM($E$413:V$413)-SUM($E$414:U$414),0)),0)</f>
        <v>0</v>
      </c>
      <c r="W414" s="151">
        <f ca="1">IFERROR(-IF(YEAR(W397)&lt;MIN(YEAR(Assumptions!$H$30),2026),(OFFSET(W413,0,-10)),IF(YEAR(W397)=MIN(YEAR(Assumptions!$H$30),2026),SUM($E$413:W$413)-SUM($E$414:V$414),0)),0)</f>
        <v>0</v>
      </c>
      <c r="X414" s="151">
        <f ca="1">IFERROR(-IF(YEAR(X397)&lt;MIN(YEAR(Assumptions!$H$30),2026),(OFFSET(X413,0,-10)),IF(YEAR(X397)=MIN(YEAR(Assumptions!$H$30),2026),SUM($E$413:X$413)-SUM($E$414:W$414),0)),0)</f>
        <v>0</v>
      </c>
      <c r="Y414" s="151">
        <f ca="1">IFERROR(-IF(YEAR(Y397)&lt;MIN(YEAR(Assumptions!$H$30),2026),(OFFSET(Y413,0,-10)),IF(YEAR(Y397)=MIN(YEAR(Assumptions!$H$30),2026),SUM($E$413:Y$413)-SUM($E$414:X$414),0)),0)</f>
        <v>0</v>
      </c>
      <c r="Z414" s="151">
        <f ca="1">IFERROR(-IF(YEAR(Z397)&lt;MIN(YEAR(Assumptions!$H$30),2026),(OFFSET(Z413,0,-10)),IF(YEAR(Z397)=MIN(YEAR(Assumptions!$H$30),2026),SUM($E$413:Z$413)-SUM($E$414:Y$414),0)),0)</f>
        <v>0</v>
      </c>
    </row>
    <row r="415" spans="2:26" x14ac:dyDescent="0.35">
      <c r="B415" s="33" t="s">
        <v>424</v>
      </c>
      <c r="D415" s="48"/>
      <c r="E415" s="48"/>
      <c r="F415" s="151">
        <f>+IF(YEAR(F397)=MIN(YEAR(Assumptions!$H$30),2026),SUM($F$425:$Z$425),0)</f>
        <v>0</v>
      </c>
      <c r="G415" s="151">
        <f>+IF(YEAR(G397)=MIN(YEAR(Assumptions!$H$30),2026),SUM($F$425:$Z$425),0)</f>
        <v>0</v>
      </c>
      <c r="H415" s="151">
        <f ca="1">+IF(YEAR(H397)=MIN(YEAR(Assumptions!$H$30),2026),SUM($F$425:$Z$425),0)</f>
        <v>1616615.7084957294</v>
      </c>
      <c r="I415" s="151">
        <f>+IF(YEAR(I397)=MIN(YEAR(Assumptions!$H$30),2026),SUM($F$425:$Z$425),0)</f>
        <v>0</v>
      </c>
      <c r="J415" s="151">
        <f>+IF(YEAR(J397)=MIN(YEAR(Assumptions!$H$30),2026),SUM($F$425:$Z$425),0)</f>
        <v>0</v>
      </c>
      <c r="K415" s="151">
        <f>+IF(YEAR(K397)=MIN(YEAR(Assumptions!$H$30),2026),SUM($F$425:$Z$425),0)</f>
        <v>0</v>
      </c>
      <c r="L415" s="151">
        <f>+IF(YEAR(L397)=MIN(YEAR(Assumptions!$H$30),2026),SUM($F$425:$Z$425),0)</f>
        <v>0</v>
      </c>
      <c r="M415" s="151">
        <f>+IF(YEAR(M397)=MIN(YEAR(Assumptions!$H$30),2026),SUM($F$425:$Z$425),0)</f>
        <v>0</v>
      </c>
      <c r="N415" s="151">
        <f>+IF(YEAR(N397)=MIN(YEAR(Assumptions!$H$30),2026),SUM($F$425:$Z$425),0)</f>
        <v>0</v>
      </c>
      <c r="O415" s="151">
        <f>+IF(YEAR(O397)=MIN(YEAR(Assumptions!$H$30),2026),SUM($F$425:$Z$425),0)</f>
        <v>0</v>
      </c>
      <c r="P415" s="151">
        <f>+IF(YEAR(P397)=MIN(YEAR(Assumptions!$H$30),2026),SUM($F$425:$Z$425),0)</f>
        <v>0</v>
      </c>
      <c r="Q415" s="151">
        <f>+IF(YEAR(Q397)=MIN(YEAR(Assumptions!$H$30),2026),SUM($F$425:$Z$425),0)</f>
        <v>0</v>
      </c>
      <c r="R415" s="151">
        <f>+IF(YEAR(R397)=MIN(YEAR(Assumptions!$H$30),2026),SUM($F$425:$Z$425),0)</f>
        <v>0</v>
      </c>
      <c r="S415" s="151">
        <f>+IF(YEAR(S397)=MIN(YEAR(Assumptions!$H$30),2026),SUM($F$425:$Z$425),0)</f>
        <v>0</v>
      </c>
      <c r="T415" s="151">
        <f>+IF(YEAR(T397)=MIN(YEAR(Assumptions!$H$30),2026),SUM($F$425:$Z$425),0)</f>
        <v>0</v>
      </c>
      <c r="U415" s="151">
        <f>+IF(YEAR(U397)=MIN(YEAR(Assumptions!$H$30),2026),SUM($F$425:$Z$425),0)</f>
        <v>0</v>
      </c>
      <c r="V415" s="151">
        <f>+IF(YEAR(V397)=MIN(YEAR(Assumptions!$H$30),2026),SUM($F$425:$Z$425),0)</f>
        <v>0</v>
      </c>
      <c r="W415" s="151">
        <f>+IF(YEAR(W397)=MIN(YEAR(Assumptions!$H$30),2026),SUM($F$425:$Z$425),0)</f>
        <v>0</v>
      </c>
      <c r="X415" s="151">
        <f>+IF(YEAR(X397)=MIN(YEAR(Assumptions!$H$30),2026),SUM($F$425:$Z$425),0)</f>
        <v>0</v>
      </c>
      <c r="Y415" s="151">
        <f>+IF(YEAR(Y397)=MIN(YEAR(Assumptions!$H$30),2026),SUM($F$425:$Z$425),0)</f>
        <v>0</v>
      </c>
      <c r="Z415" s="151">
        <f>+IF(YEAR(Z397)=MIN(YEAR(Assumptions!$H$30),2026),SUM($F$425:$Z$425),0)</f>
        <v>0</v>
      </c>
    </row>
    <row r="416" spans="2:26" x14ac:dyDescent="0.35">
      <c r="B416" s="33" t="s">
        <v>648</v>
      </c>
      <c r="D416" s="48"/>
      <c r="E416" s="48"/>
      <c r="F416" s="151">
        <f ca="1">+F403</f>
        <v>0</v>
      </c>
      <c r="G416" s="151">
        <f t="shared" ref="G416:Z418" ca="1" si="175">+G403</f>
        <v>0</v>
      </c>
      <c r="H416" s="151">
        <f t="shared" ca="1" si="175"/>
        <v>0</v>
      </c>
      <c r="I416" s="151">
        <f t="shared" ca="1" si="175"/>
        <v>1082453.1731693491</v>
      </c>
      <c r="J416" s="151">
        <f t="shared" ca="1" si="175"/>
        <v>-345198.51573213568</v>
      </c>
      <c r="K416" s="151">
        <f t="shared" ca="1" si="175"/>
        <v>-444586.66990369878</v>
      </c>
      <c r="L416" s="151">
        <f t="shared" ca="1" si="175"/>
        <v>-933745.49436018837</v>
      </c>
      <c r="M416" s="151">
        <f t="shared" si="175"/>
        <v>0</v>
      </c>
      <c r="N416" s="151">
        <f t="shared" si="175"/>
        <v>0</v>
      </c>
      <c r="O416" s="151">
        <f t="shared" si="175"/>
        <v>0</v>
      </c>
      <c r="P416" s="151">
        <f t="shared" si="175"/>
        <v>0</v>
      </c>
      <c r="Q416" s="151">
        <f t="shared" si="175"/>
        <v>0</v>
      </c>
      <c r="R416" s="151">
        <f t="shared" si="175"/>
        <v>0</v>
      </c>
      <c r="S416" s="151">
        <f t="shared" si="175"/>
        <v>0</v>
      </c>
      <c r="T416" s="151">
        <f t="shared" si="175"/>
        <v>0</v>
      </c>
      <c r="U416" s="151">
        <f t="shared" si="175"/>
        <v>0</v>
      </c>
      <c r="V416" s="151">
        <f t="shared" si="175"/>
        <v>0</v>
      </c>
      <c r="W416" s="151">
        <f t="shared" si="175"/>
        <v>0</v>
      </c>
      <c r="X416" s="151">
        <f t="shared" si="175"/>
        <v>0</v>
      </c>
      <c r="Y416" s="151">
        <f t="shared" si="175"/>
        <v>0</v>
      </c>
      <c r="Z416" s="151">
        <f t="shared" si="175"/>
        <v>0</v>
      </c>
    </row>
    <row r="417" spans="2:26" x14ac:dyDescent="0.35">
      <c r="B417" s="33" t="s">
        <v>650</v>
      </c>
      <c r="D417" s="48"/>
      <c r="E417" s="48"/>
      <c r="F417" s="151">
        <f ca="1">+F404</f>
        <v>0</v>
      </c>
      <c r="G417" s="151">
        <f t="shared" ca="1" si="175"/>
        <v>0</v>
      </c>
      <c r="H417" s="151">
        <f t="shared" ca="1" si="175"/>
        <v>0</v>
      </c>
      <c r="I417" s="151">
        <f t="shared" ca="1" si="175"/>
        <v>-10042908.735790785</v>
      </c>
      <c r="J417" s="151">
        <f t="shared" ca="1" si="175"/>
        <v>5163707.0895398315</v>
      </c>
      <c r="K417" s="151">
        <f t="shared" ca="1" si="175"/>
        <v>5446481.3733853698</v>
      </c>
      <c r="L417" s="151">
        <f t="shared" ca="1" si="175"/>
        <v>7572923.7964607403</v>
      </c>
      <c r="M417" s="151">
        <f t="shared" si="175"/>
        <v>0</v>
      </c>
      <c r="N417" s="151">
        <f t="shared" si="175"/>
        <v>0</v>
      </c>
      <c r="O417" s="151">
        <f t="shared" si="175"/>
        <v>0</v>
      </c>
      <c r="P417" s="151">
        <f t="shared" si="175"/>
        <v>0</v>
      </c>
      <c r="Q417" s="151">
        <f t="shared" si="175"/>
        <v>0</v>
      </c>
      <c r="R417" s="151">
        <f t="shared" si="175"/>
        <v>0</v>
      </c>
      <c r="S417" s="151">
        <f t="shared" si="175"/>
        <v>0</v>
      </c>
      <c r="T417" s="151">
        <f t="shared" si="175"/>
        <v>0</v>
      </c>
      <c r="U417" s="151">
        <f t="shared" si="175"/>
        <v>0</v>
      </c>
      <c r="V417" s="151">
        <f t="shared" si="175"/>
        <v>0</v>
      </c>
      <c r="W417" s="151">
        <f t="shared" si="175"/>
        <v>0</v>
      </c>
      <c r="X417" s="151">
        <f t="shared" si="175"/>
        <v>0</v>
      </c>
      <c r="Y417" s="151">
        <f t="shared" si="175"/>
        <v>0</v>
      </c>
      <c r="Z417" s="151">
        <f t="shared" si="175"/>
        <v>0</v>
      </c>
    </row>
    <row r="418" spans="2:26" x14ac:dyDescent="0.35">
      <c r="B418" s="33" t="s">
        <v>649</v>
      </c>
      <c r="D418" s="48"/>
      <c r="E418" s="48"/>
      <c r="F418" s="151">
        <f>-F273-F228-F159</f>
        <v>0</v>
      </c>
      <c r="G418" s="151">
        <f t="shared" si="175"/>
        <v>0</v>
      </c>
      <c r="H418" s="151">
        <f t="shared" si="175"/>
        <v>0</v>
      </c>
      <c r="I418" s="151">
        <f t="shared" ca="1" si="175"/>
        <v>46705947.854801834</v>
      </c>
      <c r="J418" s="151">
        <f t="shared" si="175"/>
        <v>0</v>
      </c>
      <c r="K418" s="151">
        <f t="shared" si="175"/>
        <v>0</v>
      </c>
      <c r="L418" s="151">
        <f t="shared" ca="1" si="175"/>
        <v>183486339.92872947</v>
      </c>
      <c r="M418" s="151">
        <f t="shared" si="175"/>
        <v>0</v>
      </c>
      <c r="N418" s="151">
        <f t="shared" si="175"/>
        <v>0</v>
      </c>
      <c r="O418" s="151">
        <f t="shared" si="175"/>
        <v>0</v>
      </c>
      <c r="P418" s="151">
        <f t="shared" si="175"/>
        <v>0</v>
      </c>
      <c r="Q418" s="151">
        <f t="shared" si="175"/>
        <v>0</v>
      </c>
      <c r="R418" s="151">
        <f t="shared" si="175"/>
        <v>0</v>
      </c>
      <c r="S418" s="151">
        <f t="shared" si="175"/>
        <v>0</v>
      </c>
      <c r="T418" s="151">
        <f t="shared" si="175"/>
        <v>0</v>
      </c>
      <c r="U418" s="151">
        <f t="shared" si="175"/>
        <v>0</v>
      </c>
      <c r="V418" s="151">
        <f t="shared" si="175"/>
        <v>0</v>
      </c>
      <c r="W418" s="151">
        <f t="shared" si="175"/>
        <v>0</v>
      </c>
      <c r="X418" s="151">
        <f t="shared" si="175"/>
        <v>0</v>
      </c>
      <c r="Y418" s="151">
        <f t="shared" si="175"/>
        <v>0</v>
      </c>
      <c r="Z418" s="151">
        <f t="shared" si="175"/>
        <v>0</v>
      </c>
    </row>
    <row r="419" spans="2:26" x14ac:dyDescent="0.35">
      <c r="B419" s="33" t="s">
        <v>421</v>
      </c>
      <c r="D419" s="48"/>
      <c r="E419" s="48"/>
      <c r="F419" s="151">
        <f>+IF(F399&gt;=10,0,F406)</f>
        <v>0</v>
      </c>
      <c r="G419" s="151">
        <f t="shared" ref="G419:Z419" si="176">+IF(G399&gt;=10,0,G406)</f>
        <v>0</v>
      </c>
      <c r="H419" s="151">
        <f t="shared" si="176"/>
        <v>0</v>
      </c>
      <c r="I419" s="151">
        <f t="shared" si="176"/>
        <v>0</v>
      </c>
      <c r="J419" s="151">
        <f t="shared" si="176"/>
        <v>0</v>
      </c>
      <c r="K419" s="151">
        <f t="shared" si="176"/>
        <v>0</v>
      </c>
      <c r="L419" s="151">
        <f t="shared" ca="1" si="176"/>
        <v>-33242588.582712609</v>
      </c>
      <c r="M419" s="151">
        <f t="shared" si="176"/>
        <v>0</v>
      </c>
      <c r="N419" s="151">
        <f t="shared" si="176"/>
        <v>0</v>
      </c>
      <c r="O419" s="151">
        <f t="shared" si="176"/>
        <v>0</v>
      </c>
      <c r="P419" s="151">
        <f t="shared" si="176"/>
        <v>0</v>
      </c>
      <c r="Q419" s="151">
        <f t="shared" si="176"/>
        <v>0</v>
      </c>
      <c r="R419" s="151">
        <f t="shared" si="176"/>
        <v>0</v>
      </c>
      <c r="S419" s="151">
        <f t="shared" si="176"/>
        <v>0</v>
      </c>
      <c r="T419" s="151">
        <f t="shared" si="176"/>
        <v>0</v>
      </c>
      <c r="U419" s="151">
        <f t="shared" si="176"/>
        <v>0</v>
      </c>
      <c r="V419" s="151">
        <f t="shared" si="176"/>
        <v>0</v>
      </c>
      <c r="W419" s="151">
        <f t="shared" si="176"/>
        <v>0</v>
      </c>
      <c r="X419" s="151">
        <f t="shared" si="176"/>
        <v>0</v>
      </c>
      <c r="Y419" s="151">
        <f t="shared" si="176"/>
        <v>0</v>
      </c>
      <c r="Z419" s="151">
        <f t="shared" si="176"/>
        <v>0</v>
      </c>
    </row>
    <row r="420" spans="2:26" x14ac:dyDescent="0.35">
      <c r="B420" s="138" t="s">
        <v>412</v>
      </c>
      <c r="C420" s="138"/>
      <c r="D420" s="139">
        <f t="shared" ref="D420" ca="1" si="177">+SUM(F420:Z420)</f>
        <v>129083740.52152459</v>
      </c>
      <c r="E420" s="139"/>
      <c r="F420" s="139">
        <f t="shared" ref="F420:Z420" ca="1" si="178">+SUM(F412:F419)</f>
        <v>-41214311.799794026</v>
      </c>
      <c r="G420" s="139">
        <f t="shared" ca="1" si="178"/>
        <v>-19601231.51980722</v>
      </c>
      <c r="H420" s="139">
        <f t="shared" ca="1" si="178"/>
        <v>-14549541.376461565</v>
      </c>
      <c r="I420" s="139">
        <f t="shared" ca="1" si="178"/>
        <v>37745492.292180397</v>
      </c>
      <c r="J420" s="139">
        <f t="shared" ca="1" si="178"/>
        <v>4818508.5738076959</v>
      </c>
      <c r="K420" s="139">
        <f t="shared" ca="1" si="178"/>
        <v>5001894.7034816714</v>
      </c>
      <c r="L420" s="139">
        <f t="shared" ca="1" si="178"/>
        <v>156882929.64811739</v>
      </c>
      <c r="M420" s="139">
        <f t="shared" ca="1" si="178"/>
        <v>0</v>
      </c>
      <c r="N420" s="139">
        <f t="shared" ca="1" si="178"/>
        <v>0</v>
      </c>
      <c r="O420" s="139">
        <f t="shared" ca="1" si="178"/>
        <v>0</v>
      </c>
      <c r="P420" s="139">
        <f t="shared" ca="1" si="178"/>
        <v>0</v>
      </c>
      <c r="Q420" s="139">
        <f t="shared" ca="1" si="178"/>
        <v>0</v>
      </c>
      <c r="R420" s="139">
        <f t="shared" ca="1" si="178"/>
        <v>0</v>
      </c>
      <c r="S420" s="139">
        <f t="shared" ca="1" si="178"/>
        <v>0</v>
      </c>
      <c r="T420" s="139">
        <f t="shared" ca="1" si="178"/>
        <v>0</v>
      </c>
      <c r="U420" s="139">
        <f t="shared" ca="1" si="178"/>
        <v>0</v>
      </c>
      <c r="V420" s="139">
        <f t="shared" ca="1" si="178"/>
        <v>0</v>
      </c>
      <c r="W420" s="139">
        <f t="shared" ca="1" si="178"/>
        <v>0</v>
      </c>
      <c r="X420" s="139">
        <f t="shared" ca="1" si="178"/>
        <v>0</v>
      </c>
      <c r="Y420" s="139">
        <f t="shared" ca="1" si="178"/>
        <v>0</v>
      </c>
      <c r="Z420" s="139">
        <f t="shared" ca="1" si="178"/>
        <v>0</v>
      </c>
    </row>
    <row r="422" spans="2:26" x14ac:dyDescent="0.35">
      <c r="B422" s="190" t="s">
        <v>645</v>
      </c>
      <c r="C422" s="190"/>
      <c r="D422" s="191">
        <f ca="1">+IRR(F420:Z420)</f>
        <v>0.24088377589853471</v>
      </c>
    </row>
    <row r="423" spans="2:26" x14ac:dyDescent="0.35">
      <c r="B423" s="194" t="s">
        <v>646</v>
      </c>
      <c r="C423" s="193"/>
      <c r="D423" s="228">
        <f ca="1">+D422/(1-Assumptions!$M$192)</f>
        <v>0.30491617202346166</v>
      </c>
    </row>
    <row r="425" spans="2:26" x14ac:dyDescent="0.35">
      <c r="B425" s="41" t="s">
        <v>425</v>
      </c>
      <c r="F425" s="151">
        <f ca="1">IFERROR(IF(YEAR(F397)&lt;=YEAR(Assumptions!$H$30),10%*(OFFSET(F413,0,-5))+5%*(OFFSET(F413,0,-7)),0),0)</f>
        <v>0</v>
      </c>
      <c r="G425" s="151">
        <f ca="1">IFERROR(IF(YEAR(G397)&lt;=YEAR(Assumptions!$H$30),10%*(OFFSET(G413,0,-5))+5%*(OFFSET(G413,0,-7)),0),0)</f>
        <v>0</v>
      </c>
      <c r="H425" s="151">
        <f ca="1">IFERROR(IF(YEAR(H397)&lt;=YEAR(Assumptions!$H$30),10%*(OFFSET(H413,0,-5))+5%*(OFFSET(H413,0,-7)),0),0)</f>
        <v>0</v>
      </c>
      <c r="I425" s="151">
        <f ca="1">IFERROR(IF(YEAR(I397)&lt;=YEAR(Assumptions!$H$30),10%*(OFFSET(I413,0,-5))+5%*(OFFSET(I413,0,-7)),0),0)</f>
        <v>0</v>
      </c>
      <c r="J425" s="151">
        <f ca="1">IFERROR(IF(YEAR(J397)&lt;=YEAR(Assumptions!$H$30),10%*(OFFSET(J413,0,-5))+5%*(OFFSET(J413,0,-7)),0),0)</f>
        <v>0</v>
      </c>
      <c r="K425" s="151">
        <f ca="1">IFERROR(IF(YEAR(K397)&lt;=YEAR(Assumptions!$H$30),10%*(OFFSET(K413,0,-5))+5%*(OFFSET(K413,0,-7)),0),0)</f>
        <v>1095570.313665411</v>
      </c>
      <c r="L425" s="151">
        <f ca="1">IFERROR(IF(YEAR(L397)&lt;=YEAR(Assumptions!$H$30),10%*(OFFSET(L413,0,-5))+5%*(OFFSET(L413,0,-7)),0),0)</f>
        <v>521045.39483031846</v>
      </c>
      <c r="M425" s="151">
        <f ca="1">IFERROR(IF(YEAR(M397)&lt;=YEAR(Assumptions!$H$30),10%*(OFFSET(M413,0,-5))+5%*(OFFSET(M413,0,-7)),0),0)</f>
        <v>0</v>
      </c>
      <c r="N425" s="151">
        <f ca="1">IFERROR(IF(YEAR(N397)&lt;=YEAR(Assumptions!$H$30),10%*(OFFSET(N413,0,-5))+5%*(OFFSET(N413,0,-7)),0),0)</f>
        <v>0</v>
      </c>
      <c r="O425" s="151">
        <f ca="1">IFERROR(IF(YEAR(O397)&lt;=YEAR(Assumptions!$H$30),10%*(OFFSET(O413,0,-5))+5%*(OFFSET(O413,0,-7)),0),0)</f>
        <v>0</v>
      </c>
      <c r="P425" s="151">
        <f ca="1">IFERROR(IF(YEAR(P397)&lt;=YEAR(Assumptions!$H$30),10%*(OFFSET(P413,0,-5))+5%*(OFFSET(P413,0,-7)),0),0)</f>
        <v>0</v>
      </c>
      <c r="Q425" s="151">
        <f ca="1">IFERROR(IF(YEAR(Q397)&lt;=YEAR(Assumptions!$H$30),10%*(OFFSET(Q413,0,-5))+5%*(OFFSET(Q413,0,-7)),0),0)</f>
        <v>0</v>
      </c>
      <c r="R425" s="151">
        <f ca="1">IFERROR(IF(YEAR(R397)&lt;=YEAR(Assumptions!$H$30),10%*(OFFSET(R413,0,-5))+5%*(OFFSET(R413,0,-7)),0),0)</f>
        <v>0</v>
      </c>
      <c r="S425" s="151">
        <f ca="1">IFERROR(IF(YEAR(S397)&lt;=YEAR(Assumptions!$H$30),10%*(OFFSET(S413,0,-5))+5%*(OFFSET(S413,0,-7)),0),0)</f>
        <v>0</v>
      </c>
      <c r="T425" s="151">
        <f ca="1">IFERROR(IF(YEAR(T397)&lt;=YEAR(Assumptions!$H$30),10%*(OFFSET(T413,0,-5))+5%*(OFFSET(T413,0,-7)),0),0)</f>
        <v>0</v>
      </c>
      <c r="U425" s="151">
        <f ca="1">IFERROR(IF(YEAR(U397)&lt;=YEAR(Assumptions!$H$30),10%*(OFFSET(U413,0,-5))+5%*(OFFSET(U413,0,-7)),0),0)</f>
        <v>0</v>
      </c>
      <c r="V425" s="151">
        <f ca="1">IFERROR(IF(YEAR(V397)&lt;=YEAR(Assumptions!$H$30),10%*(OFFSET(V413,0,-5))+5%*(OFFSET(V413,0,-7)),0),0)</f>
        <v>0</v>
      </c>
      <c r="W425" s="151">
        <f ca="1">IFERROR(IF(YEAR(W397)&lt;=YEAR(Assumptions!$H$30),10%*(OFFSET(W413,0,-5))+5%*(OFFSET(W413,0,-7)),0),0)</f>
        <v>0</v>
      </c>
      <c r="X425" s="151">
        <f ca="1">IFERROR(IF(YEAR(X397)&lt;=YEAR(Assumptions!$H$30),10%*(OFFSET(X413,0,-5))+5%*(OFFSET(X413,0,-7)),0),0)</f>
        <v>0</v>
      </c>
      <c r="Y425" s="151">
        <f ca="1">IFERROR(IF(YEAR(Y397)&lt;=YEAR(Assumptions!$H$30),10%*(OFFSET(Y413,0,-5))+5%*(OFFSET(Y413,0,-7)),0),0)</f>
        <v>0</v>
      </c>
      <c r="Z425" s="151">
        <f ca="1">IFERROR(IF(YEAR(Z397)&lt;=YEAR(Assumptions!$H$30),10%*(OFFSET(Z413,0,-5))+5%*(OFFSET(Z413,0,-7)),0),0)</f>
        <v>0</v>
      </c>
    </row>
    <row r="427" spans="2:26" x14ac:dyDescent="0.35">
      <c r="B427" s="148" t="s">
        <v>405</v>
      </c>
    </row>
    <row r="428" spans="2:26" x14ac:dyDescent="0.35">
      <c r="B428" s="33" t="s">
        <v>406</v>
      </c>
      <c r="D428" s="48">
        <f ca="1">+SUM(F428:Z428)</f>
        <v>301256571.58240873</v>
      </c>
      <c r="E428" s="48"/>
      <c r="F428" s="34">
        <v>0</v>
      </c>
      <c r="G428" s="34">
        <f ca="1">+F435</f>
        <v>52170014.936448134</v>
      </c>
      <c r="H428" s="34">
        <f t="shared" ref="H428:Z428" ca="1" si="179">+G435</f>
        <v>76981700.404558539</v>
      </c>
      <c r="I428" s="34">
        <f t="shared" ca="1" si="179"/>
        <v>76981700.404558539</v>
      </c>
      <c r="J428" s="34">
        <f t="shared" ca="1" si="179"/>
        <v>35164122.365693435</v>
      </c>
      <c r="K428" s="34">
        <f t="shared" ca="1" si="179"/>
        <v>31644217.73202081</v>
      </c>
      <c r="L428" s="34">
        <f t="shared" ca="1" si="179"/>
        <v>28314815.73912935</v>
      </c>
      <c r="M428" s="34">
        <f t="shared" ca="1" si="179"/>
        <v>0</v>
      </c>
      <c r="N428" s="34">
        <f t="shared" ca="1" si="179"/>
        <v>0</v>
      </c>
      <c r="O428" s="34">
        <f t="shared" ca="1" si="179"/>
        <v>0</v>
      </c>
      <c r="P428" s="34">
        <f t="shared" ca="1" si="179"/>
        <v>0</v>
      </c>
      <c r="Q428" s="34">
        <f t="shared" ca="1" si="179"/>
        <v>0</v>
      </c>
      <c r="R428" s="34">
        <f t="shared" ca="1" si="179"/>
        <v>0</v>
      </c>
      <c r="S428" s="34">
        <f t="shared" ca="1" si="179"/>
        <v>0</v>
      </c>
      <c r="T428" s="34">
        <f t="shared" ca="1" si="179"/>
        <v>0</v>
      </c>
      <c r="U428" s="34">
        <f t="shared" ca="1" si="179"/>
        <v>0</v>
      </c>
      <c r="V428" s="34">
        <f t="shared" ca="1" si="179"/>
        <v>0</v>
      </c>
      <c r="W428" s="34">
        <f t="shared" ca="1" si="179"/>
        <v>0</v>
      </c>
      <c r="X428" s="34">
        <f t="shared" ca="1" si="179"/>
        <v>0</v>
      </c>
      <c r="Y428" s="34">
        <f t="shared" ca="1" si="179"/>
        <v>0</v>
      </c>
      <c r="Z428" s="34">
        <f t="shared" ca="1" si="179"/>
        <v>0</v>
      </c>
    </row>
    <row r="429" spans="2:26" x14ac:dyDescent="0.35">
      <c r="B429" s="33" t="s">
        <v>404</v>
      </c>
      <c r="D429" s="48">
        <f t="shared" ref="D429:D434" ca="1" si="180">+SUM(F429:Z429)</f>
        <v>76981700.404558539</v>
      </c>
      <c r="E429" s="48"/>
      <c r="F429" s="151">
        <f ca="1">-F400</f>
        <v>52170014.936448134</v>
      </c>
      <c r="G429" s="151">
        <f t="shared" ref="G429:Z429" ca="1" si="181">-G400</f>
        <v>24811685.468110405</v>
      </c>
      <c r="H429" s="151">
        <f t="shared" ca="1" si="181"/>
        <v>0</v>
      </c>
      <c r="I429" s="151">
        <f t="shared" ca="1" si="181"/>
        <v>0</v>
      </c>
      <c r="J429" s="151">
        <f t="shared" ca="1" si="181"/>
        <v>0</v>
      </c>
      <c r="K429" s="151">
        <f t="shared" ca="1" si="181"/>
        <v>0</v>
      </c>
      <c r="L429" s="151">
        <f t="shared" ca="1" si="181"/>
        <v>0</v>
      </c>
      <c r="M429" s="151">
        <f t="shared" ca="1" si="181"/>
        <v>0</v>
      </c>
      <c r="N429" s="151">
        <f t="shared" ca="1" si="181"/>
        <v>0</v>
      </c>
      <c r="O429" s="151">
        <f t="shared" ca="1" si="181"/>
        <v>0</v>
      </c>
      <c r="P429" s="151">
        <f t="shared" ca="1" si="181"/>
        <v>0</v>
      </c>
      <c r="Q429" s="151">
        <f t="shared" ca="1" si="181"/>
        <v>0</v>
      </c>
      <c r="R429" s="151">
        <f t="shared" ca="1" si="181"/>
        <v>0</v>
      </c>
      <c r="S429" s="151">
        <f t="shared" ca="1" si="181"/>
        <v>0</v>
      </c>
      <c r="T429" s="151">
        <f t="shared" ca="1" si="181"/>
        <v>0</v>
      </c>
      <c r="U429" s="151">
        <f t="shared" ca="1" si="181"/>
        <v>0</v>
      </c>
      <c r="V429" s="151">
        <f t="shared" ca="1" si="181"/>
        <v>0</v>
      </c>
      <c r="W429" s="151">
        <f t="shared" ca="1" si="181"/>
        <v>0</v>
      </c>
      <c r="X429" s="151">
        <f t="shared" ca="1" si="181"/>
        <v>0</v>
      </c>
      <c r="Y429" s="151">
        <f t="shared" ca="1" si="181"/>
        <v>0</v>
      </c>
      <c r="Z429" s="151">
        <f t="shared" ca="1" si="181"/>
        <v>0</v>
      </c>
    </row>
    <row r="430" spans="2:26" x14ac:dyDescent="0.35">
      <c r="B430" s="33" t="s">
        <v>644</v>
      </c>
      <c r="D430" s="48">
        <f t="shared" ca="1" si="180"/>
        <v>22404893.508031141</v>
      </c>
      <c r="E430" s="48"/>
      <c r="F430" s="151">
        <f ca="1">IF(F397&lt;=Assumptions!$H$30,F390-F146-F216-F261,0)</f>
        <v>0</v>
      </c>
      <c r="G430" s="151">
        <f ca="1">IF(G397&lt;=Assumptions!$H$30,G390-G146-G216-G261,0)</f>
        <v>0</v>
      </c>
      <c r="H430" s="151">
        <f ca="1">IF(H397&lt;=Assumptions!$H$30,H390-H146-H216-H261,0)</f>
        <v>0</v>
      </c>
      <c r="I430" s="151">
        <f ca="1">IF(I397&lt;=Assumptions!$H$30,I390-I146-I216-I261,0)</f>
        <v>-5154538.9198540449</v>
      </c>
      <c r="J430" s="151">
        <f ca="1">IF(J397&lt;=Assumptions!$H$30,J390-J146-J216-J261,0)</f>
        <v>8094516.9477083692</v>
      </c>
      <c r="K430" s="151">
        <f ca="1">IF(K397&lt;=Assumptions!$H$30,K390-K146-K216-K261,0)</f>
        <v>8567793.872334864</v>
      </c>
      <c r="L430" s="151">
        <f ca="1">IF(L397&lt;=Assumptions!$H$30,L390-L146-L216-L261,0)</f>
        <v>10897121.607841946</v>
      </c>
      <c r="M430" s="151">
        <f>IF(M397&lt;=Assumptions!$H$30,M390-M146-M216-M261,0)</f>
        <v>0</v>
      </c>
      <c r="N430" s="151">
        <f>IF(N397&lt;=Assumptions!$H$30,N390-N146-N216-N261,0)</f>
        <v>0</v>
      </c>
      <c r="O430" s="151">
        <f>IF(O397&lt;=Assumptions!$H$30,O390-O146-O216-O261,0)</f>
        <v>0</v>
      </c>
      <c r="P430" s="151">
        <f>IF(P397&lt;=Assumptions!$H$30,P390-P146-P216-P261,0)</f>
        <v>0</v>
      </c>
      <c r="Q430" s="151">
        <f>IF(Q397&lt;=Assumptions!$H$30,Q390-Q146-Q216-Q261,0)</f>
        <v>0</v>
      </c>
      <c r="R430" s="151">
        <f>IF(R397&lt;=Assumptions!$H$30,R390-R146-R216-R261,0)</f>
        <v>0</v>
      </c>
      <c r="S430" s="151">
        <f>IF(S397&lt;=Assumptions!$H$30,S390-S146-S216-S261,0)</f>
        <v>0</v>
      </c>
      <c r="T430" s="151">
        <f>IF(T397&lt;=Assumptions!$H$30,T390-T146-T216-T261,0)</f>
        <v>0</v>
      </c>
      <c r="U430" s="151">
        <f>IF(U397&lt;=Assumptions!$H$30,U390-U146-U216-U261,0)</f>
        <v>0</v>
      </c>
      <c r="V430" s="151">
        <f>IF(V397&lt;=Assumptions!$H$30,V390-V146-V216-V261,0)</f>
        <v>0</v>
      </c>
      <c r="W430" s="151">
        <f>IF(W397&lt;=Assumptions!$H$30,W390-W146-W216-W261,0)</f>
        <v>0</v>
      </c>
      <c r="X430" s="151">
        <f>IF(X397&lt;=Assumptions!$H$30,X390-X146-X216-X261,0)</f>
        <v>0</v>
      </c>
      <c r="Y430" s="151">
        <f>IF(Y397&lt;=Assumptions!$H$30,Y390-Y146-Y216-Y261,0)</f>
        <v>0</v>
      </c>
      <c r="Z430" s="151">
        <f>IF(Z397&lt;=Assumptions!$H$30,Z390-Z146-Z216-Z261,0)</f>
        <v>0</v>
      </c>
    </row>
    <row r="431" spans="2:26" x14ac:dyDescent="0.35">
      <c r="B431" s="33" t="s">
        <v>416</v>
      </c>
      <c r="D431" s="48">
        <f t="shared" ca="1" si="180"/>
        <v>-19352143.47552317</v>
      </c>
      <c r="E431" s="48"/>
      <c r="F431" s="151">
        <f>+F391</f>
        <v>0</v>
      </c>
      <c r="G431" s="151">
        <f t="shared" ref="G431:Z431" si="182">+G391</f>
        <v>0</v>
      </c>
      <c r="H431" s="151">
        <f t="shared" si="182"/>
        <v>0</v>
      </c>
      <c r="I431" s="151">
        <f t="shared" si="182"/>
        <v>0</v>
      </c>
      <c r="J431" s="151">
        <f t="shared" ca="1" si="182"/>
        <v>-6450714.4918410564</v>
      </c>
      <c r="K431" s="151">
        <f t="shared" ca="1" si="182"/>
        <v>-6450714.4918410564</v>
      </c>
      <c r="L431" s="151">
        <f t="shared" ca="1" si="182"/>
        <v>-6450714.4918410564</v>
      </c>
      <c r="M431" s="151">
        <f t="shared" si="182"/>
        <v>0</v>
      </c>
      <c r="N431" s="151">
        <f t="shared" si="182"/>
        <v>0</v>
      </c>
      <c r="O431" s="151">
        <f t="shared" si="182"/>
        <v>0</v>
      </c>
      <c r="P431" s="151">
        <f t="shared" si="182"/>
        <v>0</v>
      </c>
      <c r="Q431" s="151">
        <f t="shared" si="182"/>
        <v>0</v>
      </c>
      <c r="R431" s="151">
        <f t="shared" si="182"/>
        <v>0</v>
      </c>
      <c r="S431" s="151">
        <f t="shared" si="182"/>
        <v>0</v>
      </c>
      <c r="T431" s="151">
        <f t="shared" si="182"/>
        <v>0</v>
      </c>
      <c r="U431" s="151">
        <f t="shared" si="182"/>
        <v>0</v>
      </c>
      <c r="V431" s="151">
        <f t="shared" si="182"/>
        <v>0</v>
      </c>
      <c r="W431" s="151">
        <f t="shared" si="182"/>
        <v>0</v>
      </c>
      <c r="X431" s="151">
        <f t="shared" si="182"/>
        <v>0</v>
      </c>
      <c r="Y431" s="151">
        <f t="shared" si="182"/>
        <v>0</v>
      </c>
      <c r="Z431" s="151">
        <f t="shared" si="182"/>
        <v>0</v>
      </c>
    </row>
    <row r="432" spans="2:26" x14ac:dyDescent="0.35">
      <c r="B432" s="33" t="s">
        <v>650</v>
      </c>
      <c r="D432" s="48">
        <f t="shared" ca="1" si="180"/>
        <v>-8140203.5235951655</v>
      </c>
      <c r="E432" s="48"/>
      <c r="F432" s="151">
        <f ca="1">-F404</f>
        <v>0</v>
      </c>
      <c r="G432" s="151">
        <f t="shared" ref="G432:Z432" ca="1" si="183">-G404</f>
        <v>0</v>
      </c>
      <c r="H432" s="151">
        <f t="shared" ca="1" si="183"/>
        <v>0</v>
      </c>
      <c r="I432" s="151">
        <f t="shared" ca="1" si="183"/>
        <v>10042908.735790785</v>
      </c>
      <c r="J432" s="151">
        <f t="shared" ca="1" si="183"/>
        <v>-5163707.0895398315</v>
      </c>
      <c r="K432" s="151">
        <f t="shared" ca="1" si="183"/>
        <v>-5446481.3733853698</v>
      </c>
      <c r="L432" s="151">
        <f t="shared" ca="1" si="183"/>
        <v>-7572923.7964607403</v>
      </c>
      <c r="M432" s="151">
        <f t="shared" si="183"/>
        <v>0</v>
      </c>
      <c r="N432" s="151">
        <f t="shared" si="183"/>
        <v>0</v>
      </c>
      <c r="O432" s="151">
        <f t="shared" si="183"/>
        <v>0</v>
      </c>
      <c r="P432" s="151">
        <f t="shared" si="183"/>
        <v>0</v>
      </c>
      <c r="Q432" s="151">
        <f t="shared" si="183"/>
        <v>0</v>
      </c>
      <c r="R432" s="151">
        <f t="shared" si="183"/>
        <v>0</v>
      </c>
      <c r="S432" s="151">
        <f t="shared" si="183"/>
        <v>0</v>
      </c>
      <c r="T432" s="151">
        <f t="shared" si="183"/>
        <v>0</v>
      </c>
      <c r="U432" s="151">
        <f t="shared" si="183"/>
        <v>0</v>
      </c>
      <c r="V432" s="151">
        <f t="shared" si="183"/>
        <v>0</v>
      </c>
      <c r="W432" s="151">
        <f t="shared" si="183"/>
        <v>0</v>
      </c>
      <c r="X432" s="151">
        <f t="shared" si="183"/>
        <v>0</v>
      </c>
      <c r="Y432" s="151">
        <f t="shared" si="183"/>
        <v>0</v>
      </c>
      <c r="Z432" s="151">
        <f t="shared" si="183"/>
        <v>0</v>
      </c>
    </row>
    <row r="433" spans="2:26" x14ac:dyDescent="0.35">
      <c r="B433" s="33" t="s">
        <v>647</v>
      </c>
      <c r="D433" s="48">
        <f t="shared" ca="1" si="180"/>
        <v>-230192287.78353131</v>
      </c>
      <c r="E433" s="48"/>
      <c r="F433" s="151">
        <f>-F273-F228-F159</f>
        <v>0</v>
      </c>
      <c r="G433" s="151">
        <f t="shared" ref="G433:Z433" si="184">-G273-G228-G159</f>
        <v>0</v>
      </c>
      <c r="H433" s="151">
        <f t="shared" si="184"/>
        <v>0</v>
      </c>
      <c r="I433" s="151">
        <f t="shared" ca="1" si="184"/>
        <v>-46705947.854801953</v>
      </c>
      <c r="J433" s="151">
        <f t="shared" si="184"/>
        <v>0</v>
      </c>
      <c r="K433" s="151">
        <f t="shared" si="184"/>
        <v>0</v>
      </c>
      <c r="L433" s="151">
        <f t="shared" ca="1" si="184"/>
        <v>-183486339.92872956</v>
      </c>
      <c r="M433" s="151">
        <f t="shared" si="184"/>
        <v>0</v>
      </c>
      <c r="N433" s="151">
        <f t="shared" si="184"/>
        <v>0</v>
      </c>
      <c r="O433" s="151">
        <f t="shared" si="184"/>
        <v>0</v>
      </c>
      <c r="P433" s="151">
        <f t="shared" si="184"/>
        <v>0</v>
      </c>
      <c r="Q433" s="151">
        <f t="shared" si="184"/>
        <v>0</v>
      </c>
      <c r="R433" s="151">
        <f t="shared" si="184"/>
        <v>0</v>
      </c>
      <c r="S433" s="151">
        <f t="shared" si="184"/>
        <v>0</v>
      </c>
      <c r="T433" s="151">
        <f t="shared" si="184"/>
        <v>0</v>
      </c>
      <c r="U433" s="151">
        <f t="shared" si="184"/>
        <v>0</v>
      </c>
      <c r="V433" s="151">
        <f t="shared" si="184"/>
        <v>0</v>
      </c>
      <c r="W433" s="151">
        <f t="shared" si="184"/>
        <v>0</v>
      </c>
      <c r="X433" s="151">
        <f t="shared" si="184"/>
        <v>0</v>
      </c>
      <c r="Y433" s="151">
        <f t="shared" si="184"/>
        <v>0</v>
      </c>
      <c r="Z433" s="151">
        <f t="shared" si="184"/>
        <v>0</v>
      </c>
    </row>
    <row r="434" spans="2:26" x14ac:dyDescent="0.35">
      <c r="B434" s="33" t="s">
        <v>420</v>
      </c>
      <c r="D434" s="48">
        <f t="shared" ca="1" si="180"/>
        <v>158298040.87006006</v>
      </c>
      <c r="E434" s="48"/>
      <c r="F434" s="151">
        <f>-IF(YEAR(F397)=YEAR(Assumptions!$H$30),SUM(F428:F433),0)</f>
        <v>0</v>
      </c>
      <c r="G434" s="151">
        <f>-IF(YEAR(G397)=YEAR(Assumptions!$H$30),SUM(G428:G433),0)</f>
        <v>0</v>
      </c>
      <c r="H434" s="151">
        <f>-IF(YEAR(H397)=YEAR(Assumptions!$H$30),SUM(H428:H433),0)</f>
        <v>0</v>
      </c>
      <c r="I434" s="151">
        <f>-IF(YEAR(I397)=YEAR(Assumptions!$H$30),SUM(I428:I433),0)</f>
        <v>0</v>
      </c>
      <c r="J434" s="151">
        <f>-IF(YEAR(J397)=YEAR(Assumptions!$H$30),SUM(J428:J433),0)</f>
        <v>0</v>
      </c>
      <c r="K434" s="151">
        <f>-IF(YEAR(K397)=YEAR(Assumptions!$H$30),SUM(K428:K433),0)</f>
        <v>0</v>
      </c>
      <c r="L434" s="151">
        <f ca="1">-IF(YEAR(L397)=YEAR(Assumptions!$H$30),SUM(L428:L433),0)</f>
        <v>158298040.87006006</v>
      </c>
      <c r="M434" s="151">
        <f>-IF(YEAR(M397)=YEAR(Assumptions!$H$30),SUM(M428:M433),0)</f>
        <v>0</v>
      </c>
      <c r="N434" s="151">
        <f>-IF(YEAR(N397)=YEAR(Assumptions!$H$30),SUM(N428:N433),0)</f>
        <v>0</v>
      </c>
      <c r="O434" s="151">
        <f>-IF(YEAR(O397)=YEAR(Assumptions!$H$30),SUM(O428:O433),0)</f>
        <v>0</v>
      </c>
      <c r="P434" s="151">
        <f>-IF(YEAR(P397)=YEAR(Assumptions!$H$30),SUM(P428:P433),0)</f>
        <v>0</v>
      </c>
      <c r="Q434" s="151">
        <f>-IF(YEAR(Q397)=YEAR(Assumptions!$H$30),SUM(Q428:Q433),0)</f>
        <v>0</v>
      </c>
      <c r="R434" s="151">
        <f>-IF(YEAR(R397)=YEAR(Assumptions!$H$30),SUM(R428:R433),0)</f>
        <v>0</v>
      </c>
      <c r="S434" s="151">
        <f>-IF(YEAR(S397)=YEAR(Assumptions!$H$30),SUM(S428:S433),0)</f>
        <v>0</v>
      </c>
      <c r="T434" s="151">
        <f>-IF(YEAR(T397)=YEAR(Assumptions!$H$30),SUM(T428:T433),0)</f>
        <v>0</v>
      </c>
      <c r="U434" s="151">
        <f>-IF(YEAR(U397)=YEAR(Assumptions!$H$30),SUM(U428:U433),0)</f>
        <v>0</v>
      </c>
      <c r="V434" s="151">
        <f>-IF(YEAR(V397)=YEAR(Assumptions!$H$30),SUM(V428:V433),0)</f>
        <v>0</v>
      </c>
      <c r="W434" s="151">
        <f>-IF(YEAR(W397)=YEAR(Assumptions!$H$30),SUM(W428:W433),0)</f>
        <v>0</v>
      </c>
      <c r="X434" s="151">
        <f>-IF(YEAR(X397)=YEAR(Assumptions!$H$30),SUM(X428:X433),0)</f>
        <v>0</v>
      </c>
      <c r="Y434" s="151">
        <f>-IF(YEAR(Y397)=YEAR(Assumptions!$H$30),SUM(Y428:Y433),0)</f>
        <v>0</v>
      </c>
      <c r="Z434" s="151">
        <f>-IF(YEAR(Z397)=YEAR(Assumptions!$H$30),SUM(Z428:Z433),0)</f>
        <v>0</v>
      </c>
    </row>
    <row r="435" spans="2:26" x14ac:dyDescent="0.35">
      <c r="B435" s="137" t="s">
        <v>408</v>
      </c>
      <c r="C435" s="137"/>
      <c r="D435" s="36">
        <f t="shared" ref="D435" ca="1" si="185">+SUM(F435:Z435)</f>
        <v>301256571.58240879</v>
      </c>
      <c r="E435" s="129"/>
      <c r="F435" s="129">
        <f ca="1">+SUM(F428:F434)</f>
        <v>52170014.936448134</v>
      </c>
      <c r="G435" s="129">
        <f t="shared" ref="G435:Z435" ca="1" si="186">+SUM(G428:G434)</f>
        <v>76981700.404558539</v>
      </c>
      <c r="H435" s="129">
        <f t="shared" ca="1" si="186"/>
        <v>76981700.404558539</v>
      </c>
      <c r="I435" s="129">
        <f t="shared" ca="1" si="186"/>
        <v>35164122.365693331</v>
      </c>
      <c r="J435" s="129">
        <f t="shared" ca="1" si="186"/>
        <v>31644217.732020915</v>
      </c>
      <c r="K435" s="129">
        <f t="shared" ca="1" si="186"/>
        <v>28314815.739129253</v>
      </c>
      <c r="L435" s="129">
        <f t="shared" ca="1" si="186"/>
        <v>0</v>
      </c>
      <c r="M435" s="129">
        <f t="shared" ca="1" si="186"/>
        <v>0</v>
      </c>
      <c r="N435" s="129">
        <f t="shared" ca="1" si="186"/>
        <v>0</v>
      </c>
      <c r="O435" s="129">
        <f t="shared" ca="1" si="186"/>
        <v>0</v>
      </c>
      <c r="P435" s="129">
        <f t="shared" ca="1" si="186"/>
        <v>0</v>
      </c>
      <c r="Q435" s="129">
        <f t="shared" ca="1" si="186"/>
        <v>0</v>
      </c>
      <c r="R435" s="129">
        <f t="shared" ca="1" si="186"/>
        <v>0</v>
      </c>
      <c r="S435" s="129">
        <f t="shared" ca="1" si="186"/>
        <v>0</v>
      </c>
      <c r="T435" s="129">
        <f t="shared" ca="1" si="186"/>
        <v>0</v>
      </c>
      <c r="U435" s="129">
        <f t="shared" ca="1" si="186"/>
        <v>0</v>
      </c>
      <c r="V435" s="129">
        <f t="shared" ca="1" si="186"/>
        <v>0</v>
      </c>
      <c r="W435" s="129">
        <f t="shared" ca="1" si="186"/>
        <v>0</v>
      </c>
      <c r="X435" s="129">
        <f t="shared" ca="1" si="186"/>
        <v>0</v>
      </c>
      <c r="Y435" s="129">
        <f t="shared" ca="1" si="186"/>
        <v>0</v>
      </c>
      <c r="Z435" s="129">
        <f t="shared" ca="1" si="186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B1:Z58"/>
  <sheetViews>
    <sheetView showGridLines="0" zoomScale="55" zoomScaleNormal="55" workbookViewId="0">
      <selection activeCell="F2" sqref="F2"/>
    </sheetView>
  </sheetViews>
  <sheetFormatPr defaultColWidth="14.453125" defaultRowHeight="15.5" x14ac:dyDescent="0.35"/>
  <cols>
    <col min="1" max="1" width="8.453125" style="41" customWidth="1"/>
    <col min="2" max="3" width="14.453125" style="41"/>
    <col min="4" max="4" width="16.453125" style="41" bestFit="1" customWidth="1"/>
    <col min="5" max="5" width="14.453125" style="41"/>
    <col min="6" max="8" width="17.453125" style="41" bestFit="1" customWidth="1"/>
    <col min="9" max="9" width="15.453125" style="41" bestFit="1" customWidth="1"/>
    <col min="10" max="10" width="17.453125" style="41" bestFit="1" customWidth="1"/>
    <col min="11" max="11" width="16.36328125" style="41" bestFit="1" customWidth="1"/>
    <col min="12" max="12" width="15.453125" style="41" bestFit="1" customWidth="1"/>
    <col min="13" max="16" width="17.453125" style="41" bestFit="1" customWidth="1"/>
    <col min="17" max="17" width="18.6328125" style="41" bestFit="1" customWidth="1"/>
    <col min="18" max="26" width="14.6328125" style="41" bestFit="1" customWidth="1"/>
    <col min="27" max="16384" width="14.453125" style="41"/>
  </cols>
  <sheetData>
    <row r="1" spans="2:26" ht="51.75" customHeight="1" x14ac:dyDescent="0.35">
      <c r="F1" s="146">
        <f>+YEAR(F2)</f>
        <v>2020</v>
      </c>
      <c r="G1" s="146">
        <f t="shared" ref="G1:Z1" si="0">+YEAR(G2)</f>
        <v>2021</v>
      </c>
      <c r="H1" s="146">
        <f t="shared" si="0"/>
        <v>2022</v>
      </c>
      <c r="I1" s="146">
        <f t="shared" si="0"/>
        <v>2023</v>
      </c>
      <c r="J1" s="146">
        <f t="shared" si="0"/>
        <v>2024</v>
      </c>
      <c r="K1" s="146">
        <f t="shared" si="0"/>
        <v>2025</v>
      </c>
      <c r="L1" s="146">
        <f t="shared" si="0"/>
        <v>2026</v>
      </c>
      <c r="M1" s="146">
        <f t="shared" si="0"/>
        <v>2027</v>
      </c>
      <c r="N1" s="146">
        <f t="shared" si="0"/>
        <v>2028</v>
      </c>
      <c r="O1" s="146">
        <f t="shared" si="0"/>
        <v>2029</v>
      </c>
      <c r="P1" s="146">
        <f t="shared" si="0"/>
        <v>2030</v>
      </c>
      <c r="Q1" s="146">
        <f t="shared" si="0"/>
        <v>2031</v>
      </c>
      <c r="R1" s="146">
        <f t="shared" si="0"/>
        <v>2032</v>
      </c>
      <c r="S1" s="146">
        <f t="shared" si="0"/>
        <v>2033</v>
      </c>
      <c r="T1" s="146">
        <f t="shared" si="0"/>
        <v>2034</v>
      </c>
      <c r="U1" s="146">
        <f t="shared" si="0"/>
        <v>2035</v>
      </c>
      <c r="V1" s="146">
        <f t="shared" si="0"/>
        <v>2036</v>
      </c>
      <c r="W1" s="146">
        <f t="shared" si="0"/>
        <v>2037</v>
      </c>
      <c r="X1" s="146">
        <f t="shared" si="0"/>
        <v>2038</v>
      </c>
      <c r="Y1" s="146">
        <f t="shared" si="0"/>
        <v>2039</v>
      </c>
      <c r="Z1" s="146">
        <f t="shared" si="0"/>
        <v>2040</v>
      </c>
    </row>
    <row r="2" spans="2:26" x14ac:dyDescent="0.35">
      <c r="B2" s="148" t="s">
        <v>400</v>
      </c>
      <c r="F2" s="150">
        <f>+Assumptions!$E$22</f>
        <v>44196</v>
      </c>
      <c r="G2" s="150">
        <f>+EOMONTH(F2,12)</f>
        <v>44561</v>
      </c>
      <c r="H2" s="150">
        <f t="shared" ref="H2:Z2" si="1">+EOMONTH(G2,12)</f>
        <v>44926</v>
      </c>
      <c r="I2" s="150">
        <f t="shared" si="1"/>
        <v>45291</v>
      </c>
      <c r="J2" s="150">
        <f t="shared" si="1"/>
        <v>45657</v>
      </c>
      <c r="K2" s="150">
        <f t="shared" si="1"/>
        <v>46022</v>
      </c>
      <c r="L2" s="150">
        <f t="shared" si="1"/>
        <v>46387</v>
      </c>
      <c r="M2" s="150">
        <f t="shared" si="1"/>
        <v>46752</v>
      </c>
      <c r="N2" s="150">
        <f t="shared" si="1"/>
        <v>47118</v>
      </c>
      <c r="O2" s="150">
        <f t="shared" si="1"/>
        <v>47483</v>
      </c>
      <c r="P2" s="150">
        <f t="shared" si="1"/>
        <v>47848</v>
      </c>
      <c r="Q2" s="150">
        <f t="shared" si="1"/>
        <v>48213</v>
      </c>
      <c r="R2" s="150">
        <f t="shared" si="1"/>
        <v>48579</v>
      </c>
      <c r="S2" s="150">
        <f t="shared" si="1"/>
        <v>48944</v>
      </c>
      <c r="T2" s="150">
        <f t="shared" si="1"/>
        <v>49309</v>
      </c>
      <c r="U2" s="150">
        <f t="shared" si="1"/>
        <v>49674</v>
      </c>
      <c r="V2" s="150">
        <f t="shared" si="1"/>
        <v>50040</v>
      </c>
      <c r="W2" s="150">
        <f t="shared" si="1"/>
        <v>50405</v>
      </c>
      <c r="X2" s="150">
        <f t="shared" si="1"/>
        <v>50770</v>
      </c>
      <c r="Y2" s="150">
        <f t="shared" si="1"/>
        <v>51135</v>
      </c>
      <c r="Z2" s="150">
        <f t="shared" si="1"/>
        <v>51501</v>
      </c>
    </row>
    <row r="3" spans="2:26" x14ac:dyDescent="0.35">
      <c r="B3" s="33" t="s">
        <v>21</v>
      </c>
      <c r="D3" s="48">
        <f ca="1">+SUM(F3:Z3)</f>
        <v>222046920.57305685</v>
      </c>
      <c r="F3" s="34">
        <f ca="1">+IFERROR(INDEX('Phase I Pro Forma'!$F$309:$Z$309,1,MATCH('Cash Flow Roll-up'!F$2,'Phase I Pro Forma'!$F$284:$Z$284,0)),0)</f>
        <v>-51495790.787373006</v>
      </c>
      <c r="G3" s="34">
        <f ca="1">+IFERROR(INDEX('Phase I Pro Forma'!$F$309:$Z$309,1,MATCH('Cash Flow Roll-up'!G$2,'Phase I Pro Forma'!$F$284:$Z$284,0)),0)</f>
        <v>-12663221.150123715</v>
      </c>
      <c r="H3" s="34">
        <f ca="1">+IFERROR(INDEX('Phase I Pro Forma'!$F$309:$Z$309,1,MATCH('Cash Flow Roll-up'!H$2,'Phase I Pro Forma'!$F$284:$Z$284,0)),0)</f>
        <v>0</v>
      </c>
      <c r="I3" s="34">
        <f ca="1">+IFERROR(INDEX('Phase I Pro Forma'!$F$309:$Z$309,1,MATCH('Cash Flow Roll-up'!I$2,'Phase I Pro Forma'!$F$284:$Z$284,0)),0)</f>
        <v>24901299.124564815</v>
      </c>
      <c r="J3" s="34">
        <f ca="1">+IFERROR(INDEX('Phase I Pro Forma'!$F$309:$Z$309,1,MATCH('Cash Flow Roll-up'!J$2,'Phase I Pro Forma'!$F$284:$Z$284,0)),0)</f>
        <v>5278132.2857078519</v>
      </c>
      <c r="K3" s="34">
        <f ca="1">+IFERROR(INDEX('Phase I Pro Forma'!$F$309:$Z$309,1,MATCH('Cash Flow Roll-up'!K$2,'Phase I Pro Forma'!$F$284:$Z$284,0)),0)</f>
        <v>5896598.6043395866</v>
      </c>
      <c r="L3" s="34">
        <f ca="1">+IFERROR(INDEX('Phase I Pro Forma'!$F$309:$Z$309,1,MATCH('Cash Flow Roll-up'!L$2,'Phase I Pro Forma'!$F$284:$Z$284,0)),0)</f>
        <v>7678126.75579214</v>
      </c>
      <c r="M3" s="34">
        <f ca="1">+IFERROR(INDEX('Phase I Pro Forma'!$F$309:$Z$309,1,MATCH('Cash Flow Roll-up'!M$2,'Phase I Pro Forma'!$F$284:$Z$284,0)),0)</f>
        <v>8004752.9827835169</v>
      </c>
      <c r="N3" s="34">
        <f ca="1">+IFERROR(INDEX('Phase I Pro Forma'!$F$309:$Z$309,1,MATCH('Cash Flow Roll-up'!N$2,'Phase I Pro Forma'!$F$284:$Z$284,0)),0)</f>
        <v>8449315.2071530111</v>
      </c>
      <c r="O3" s="34">
        <f ca="1">+IFERROR(INDEX('Phase I Pro Forma'!$F$309:$Z$309,1,MATCH('Cash Flow Roll-up'!O$2,'Phase I Pro Forma'!$F$284:$Z$284,0)),0)</f>
        <v>8905274.030542098</v>
      </c>
      <c r="P3" s="34">
        <f ca="1">+IFERROR(INDEX('Phase I Pro Forma'!$F$309:$Z$309,1,MATCH('Cash Flow Roll-up'!P$2,'Phase I Pro Forma'!$F$284:$Z$284,0)),0)</f>
        <v>217092433.51967055</v>
      </c>
      <c r="Q3" s="34">
        <f ca="1">+IFERROR(INDEX('Phase I Pro Forma'!$F$309:$Z$309,1,MATCH('Cash Flow Roll-up'!Q$2,'Phase I Pro Forma'!$F$284:$Z$284,0)),0)</f>
        <v>0</v>
      </c>
      <c r="R3" s="34">
        <f ca="1">+IFERROR(INDEX('Phase I Pro Forma'!$F$309:$Z$309,1,MATCH('Cash Flow Roll-up'!R$2,'Phase I Pro Forma'!$F$284:$Z$284,0)),0)</f>
        <v>0</v>
      </c>
      <c r="S3" s="34">
        <f ca="1">+IFERROR(INDEX('Phase I Pro Forma'!$F$309:$Z$309,1,MATCH('Cash Flow Roll-up'!S$2,'Phase I Pro Forma'!$F$284:$Z$284,0)),0)</f>
        <v>0</v>
      </c>
      <c r="T3" s="34">
        <f ca="1">+IFERROR(INDEX('Phase I Pro Forma'!$F$309:$Z$309,1,MATCH('Cash Flow Roll-up'!T$2,'Phase I Pro Forma'!$F$284:$Z$284,0)),0)</f>
        <v>0</v>
      </c>
      <c r="U3" s="34">
        <f ca="1">+IFERROR(INDEX('Phase I Pro Forma'!$F$309:$Z$309,1,MATCH('Cash Flow Roll-up'!U$2,'Phase I Pro Forma'!$F$284:$Z$284,0)),0)</f>
        <v>0</v>
      </c>
      <c r="V3" s="34">
        <f ca="1">+IFERROR(INDEX('Phase I Pro Forma'!$F$309:$Z$309,1,MATCH('Cash Flow Roll-up'!V$2,'Phase I Pro Forma'!$F$284:$Z$284,0)),0)</f>
        <v>0</v>
      </c>
      <c r="W3" s="34">
        <f ca="1">+IFERROR(INDEX('Phase I Pro Forma'!$F$309:$Z$309,1,MATCH('Cash Flow Roll-up'!W$2,'Phase I Pro Forma'!$F$284:$Z$284,0)),0)</f>
        <v>0</v>
      </c>
      <c r="X3" s="34">
        <f ca="1">+IFERROR(INDEX('Phase I Pro Forma'!$F$309:$Z$309,1,MATCH('Cash Flow Roll-up'!X$2,'Phase I Pro Forma'!$F$284:$Z$284,0)),0)</f>
        <v>0</v>
      </c>
      <c r="Y3" s="34">
        <f ca="1">+IFERROR(INDEX('Phase I Pro Forma'!$F$309:$Z$309,1,MATCH('Cash Flow Roll-up'!Y$2,'Phase I Pro Forma'!$F$284:$Z$284,0)),0)</f>
        <v>0</v>
      </c>
      <c r="Z3" s="34">
        <f ca="1">+IFERROR(INDEX('Phase I Pro Forma'!$F$309:$Z$309,1,MATCH('Cash Flow Roll-up'!Z$2,'Phase I Pro Forma'!$F$284:$Z$284,0)),0)</f>
        <v>0</v>
      </c>
    </row>
    <row r="4" spans="2:26" x14ac:dyDescent="0.35">
      <c r="B4" s="33" t="s">
        <v>381</v>
      </c>
      <c r="D4" s="24">
        <f ca="1">+SUM(F4:Z4)</f>
        <v>112672620.62590834</v>
      </c>
      <c r="F4" s="151">
        <f>+IFERROR(INDEX('Phase II Pro Forma'!$F$309:$Z$309,1,MATCH('Cash Flow Roll-up'!F$2,'Phase II Pro Forma'!$F$284:$Z$284,0)),0)</f>
        <v>0</v>
      </c>
      <c r="G4" s="151">
        <f>+IFERROR(INDEX('Phase II Pro Forma'!$F$309:$Z$309,1,MATCH('Cash Flow Roll-up'!G$2,'Phase II Pro Forma'!$F$284:$Z$284,0)),0)</f>
        <v>0</v>
      </c>
      <c r="H4" s="151">
        <f ca="1">+IFERROR(INDEX('Phase II Pro Forma'!$F$309:$Z$309,1,MATCH('Cash Flow Roll-up'!H$2,'Phase II Pro Forma'!$F$284:$Z$284,0)),0)</f>
        <v>-18868356.37705791</v>
      </c>
      <c r="I4" s="151">
        <f ca="1">+IFERROR(INDEX('Phase II Pro Forma'!$F$309:$Z$309,1,MATCH('Cash Flow Roll-up'!I$2,'Phase II Pro Forma'!$F$284:$Z$284,0)),0)</f>
        <v>-17411715.996491671</v>
      </c>
      <c r="J4" s="151">
        <f ca="1">+IFERROR(INDEX('Phase II Pro Forma'!$F$309:$Z$309,1,MATCH('Cash Flow Roll-up'!J$2,'Phase II Pro Forma'!$F$284:$Z$284,0)),0)</f>
        <v>0</v>
      </c>
      <c r="K4" s="151">
        <f ca="1">+IFERROR(INDEX('Phase II Pro Forma'!$F$309:$Z$309,1,MATCH('Cash Flow Roll-up'!K$2,'Phase II Pro Forma'!$F$284:$Z$284,0)),0)</f>
        <v>18907188.828211531</v>
      </c>
      <c r="L4" s="151">
        <f ca="1">+IFERROR(INDEX('Phase II Pro Forma'!$F$309:$Z$309,1,MATCH('Cash Flow Roll-up'!L$2,'Phase II Pro Forma'!$F$284:$Z$284,0)),0)</f>
        <v>3047194.9531563995</v>
      </c>
      <c r="M4" s="151">
        <f ca="1">+IFERROR(INDEX('Phase II Pro Forma'!$F$309:$Z$309,1,MATCH('Cash Flow Roll-up'!M$2,'Phase II Pro Forma'!$F$284:$Z$284,0)),0)</f>
        <v>3480773.6680041822</v>
      </c>
      <c r="N4" s="151">
        <f ca="1">+IFERROR(INDEX('Phase II Pro Forma'!$F$309:$Z$309,1,MATCH('Cash Flow Roll-up'!N$2,'Phase II Pro Forma'!$F$284:$Z$284,0)),0)</f>
        <v>4385732.7590233814</v>
      </c>
      <c r="O4" s="151">
        <f ca="1">+IFERROR(INDEX('Phase II Pro Forma'!$F$309:$Z$309,1,MATCH('Cash Flow Roll-up'!O$2,'Phase II Pro Forma'!$F$284:$Z$284,0)),0)</f>
        <v>4624966.8406341393</v>
      </c>
      <c r="P4" s="151">
        <f ca="1">+IFERROR(INDEX('Phase II Pro Forma'!$F$309:$Z$309,1,MATCH('Cash Flow Roll-up'!P$2,'Phase II Pro Forma'!$F$284:$Z$284,0)),0)</f>
        <v>114506835.95042822</v>
      </c>
      <c r="Q4" s="151">
        <f ca="1">+IFERROR(INDEX('Phase II Pro Forma'!$F$309:$Z$309,1,MATCH('Cash Flow Roll-up'!Q$2,'Phase II Pro Forma'!$F$284:$Z$284,0)),0)</f>
        <v>0</v>
      </c>
      <c r="R4" s="151">
        <f ca="1">+IFERROR(INDEX('Phase II Pro Forma'!$F$309:$Z$309,1,MATCH('Cash Flow Roll-up'!R$2,'Phase II Pro Forma'!$F$284:$Z$284,0)),0)</f>
        <v>0</v>
      </c>
      <c r="S4" s="151">
        <f ca="1">+IFERROR(INDEX('Phase II Pro Forma'!$F$309:$Z$309,1,MATCH('Cash Flow Roll-up'!S$2,'Phase II Pro Forma'!$F$284:$Z$284,0)),0)</f>
        <v>0</v>
      </c>
      <c r="T4" s="151">
        <f ca="1">+IFERROR(INDEX('Phase II Pro Forma'!$F$309:$Z$309,1,MATCH('Cash Flow Roll-up'!T$2,'Phase II Pro Forma'!$F$284:$Z$284,0)),0)</f>
        <v>0</v>
      </c>
      <c r="U4" s="151">
        <f ca="1">+IFERROR(INDEX('Phase II Pro Forma'!$F$309:$Z$309,1,MATCH('Cash Flow Roll-up'!U$2,'Phase II Pro Forma'!$F$284:$Z$284,0)),0)</f>
        <v>0</v>
      </c>
      <c r="V4" s="151">
        <f ca="1">+IFERROR(INDEX('Phase II Pro Forma'!$F$309:$Z$309,1,MATCH('Cash Flow Roll-up'!V$2,'Phase II Pro Forma'!$F$284:$Z$284,0)),0)</f>
        <v>0</v>
      </c>
      <c r="W4" s="151">
        <f ca="1">+IFERROR(INDEX('Phase II Pro Forma'!$F$309:$Z$309,1,MATCH('Cash Flow Roll-up'!W$2,'Phase II Pro Forma'!$F$284:$Z$284,0)),0)</f>
        <v>0</v>
      </c>
      <c r="X4" s="151">
        <f ca="1">+IFERROR(INDEX('Phase II Pro Forma'!$F$309:$Z$309,1,MATCH('Cash Flow Roll-up'!X$2,'Phase II Pro Forma'!$F$284:$Z$284,0)),0)</f>
        <v>0</v>
      </c>
      <c r="Y4" s="151">
        <f ca="1">+IFERROR(INDEX('Phase II Pro Forma'!$F$309:$Z$309,1,MATCH('Cash Flow Roll-up'!Y$2,'Phase II Pro Forma'!$F$284:$Z$284,0)),0)</f>
        <v>0</v>
      </c>
      <c r="Z4" s="151">
        <f ca="1">+IFERROR(INDEX('Phase II Pro Forma'!$F$309:$Z$309,1,MATCH('Cash Flow Roll-up'!Z$2,'Phase II Pro Forma'!$F$284:$Z$284,0)),0)</f>
        <v>0</v>
      </c>
    </row>
    <row r="5" spans="2:26" x14ac:dyDescent="0.35">
      <c r="B5" s="33" t="s">
        <v>384</v>
      </c>
      <c r="D5" s="24">
        <f ca="1">+SUM(F5:Z5)</f>
        <v>161350790.90256816</v>
      </c>
      <c r="F5" s="151">
        <f>+IFERROR(INDEX('Phase III Pro Forma'!$F$309:$Z$309,1,MATCH('Cash Flow Roll-up'!F$2,'Phase III Pro Forma'!$F$284:$Z$284,0)),0)</f>
        <v>0</v>
      </c>
      <c r="G5" s="151">
        <f>+IFERROR(INDEX('Phase III Pro Forma'!$F$309:$Z$309,1,MATCH('Cash Flow Roll-up'!G$2,'Phase III Pro Forma'!$F$284:$Z$284,0)),0)</f>
        <v>0</v>
      </c>
      <c r="H5" s="151">
        <f>+IFERROR(INDEX('Phase III Pro Forma'!$F$309:$Z$309,1,MATCH('Cash Flow Roll-up'!H$2,'Phase III Pro Forma'!$F$284:$Z$284,0)),0)</f>
        <v>0</v>
      </c>
      <c r="I5" s="151">
        <f>+IFERROR(INDEX('Phase III Pro Forma'!$F$309:$Z$309,1,MATCH('Cash Flow Roll-up'!I$2,'Phase III Pro Forma'!$F$284:$Z$284,0)),0)</f>
        <v>0</v>
      </c>
      <c r="J5" s="151">
        <f ca="1">+IFERROR(INDEX('Phase III Pro Forma'!$F$309:$Z$309,1,MATCH('Cash Flow Roll-up'!J$2,'Phase III Pro Forma'!$F$284:$Z$284,0)),0)</f>
        <v>-52170014.936448134</v>
      </c>
      <c r="K5" s="151">
        <f ca="1">+IFERROR(INDEX('Phase III Pro Forma'!$F$309:$Z$309,1,MATCH('Cash Flow Roll-up'!K$2,'Phase III Pro Forma'!$F$284:$Z$284,0)),0)</f>
        <v>-24811685.468110405</v>
      </c>
      <c r="L5" s="151">
        <f ca="1">+IFERROR(INDEX('Phase III Pro Forma'!$F$309:$Z$309,1,MATCH('Cash Flow Roll-up'!L$2,'Phase III Pro Forma'!$F$284:$Z$284,0)),0)</f>
        <v>0</v>
      </c>
      <c r="M5" s="151">
        <f ca="1">+IFERROR(INDEX('Phase III Pro Forma'!$F$309:$Z$309,1,MATCH('Cash Flow Roll-up'!M$2,'Phase III Pro Forma'!$F$284:$Z$284,0)),0)</f>
        <v>36663039.119011052</v>
      </c>
      <c r="N5" s="151">
        <f ca="1">+IFERROR(INDEX('Phase III Pro Forma'!$F$309:$Z$309,1,MATCH('Cash Flow Roll-up'!N$2,'Phase III Pro Forma'!$F$284:$Z$284,0)),0)</f>
        <v>5163707.0895398315</v>
      </c>
      <c r="O5" s="151">
        <f ca="1">+IFERROR(INDEX('Phase III Pro Forma'!$F$309:$Z$309,1,MATCH('Cash Flow Roll-up'!O$2,'Phase III Pro Forma'!$F$284:$Z$284,0)),0)</f>
        <v>5446481.3733853698</v>
      </c>
      <c r="P5" s="151">
        <f ca="1">+IFERROR(INDEX('Phase III Pro Forma'!$F$309:$Z$309,1,MATCH('Cash Flow Roll-up'!P$2,'Phase III Pro Forma'!$F$284:$Z$284,0)),0)</f>
        <v>191059263.72519025</v>
      </c>
      <c r="Q5" s="151">
        <f ca="1">+IFERROR(INDEX('Phase III Pro Forma'!$F$309:$Z$309,1,MATCH('Cash Flow Roll-up'!Q$2,'Phase III Pro Forma'!$F$284:$Z$284,0)),0)</f>
        <v>0</v>
      </c>
      <c r="R5" s="151">
        <f ca="1">+IFERROR(INDEX('Phase III Pro Forma'!$F$309:$Z$309,1,MATCH('Cash Flow Roll-up'!R$2,'Phase III Pro Forma'!$F$284:$Z$284,0)),0)</f>
        <v>0</v>
      </c>
      <c r="S5" s="151">
        <f ca="1">+IFERROR(INDEX('Phase III Pro Forma'!$F$309:$Z$309,1,MATCH('Cash Flow Roll-up'!S$2,'Phase III Pro Forma'!$F$284:$Z$284,0)),0)</f>
        <v>0</v>
      </c>
      <c r="T5" s="151">
        <f ca="1">+IFERROR(INDEX('Phase III Pro Forma'!$F$309:$Z$309,1,MATCH('Cash Flow Roll-up'!T$2,'Phase III Pro Forma'!$F$284:$Z$284,0)),0)</f>
        <v>0</v>
      </c>
      <c r="U5" s="151">
        <f ca="1">+IFERROR(INDEX('Phase III Pro Forma'!$F$309:$Z$309,1,MATCH('Cash Flow Roll-up'!U$2,'Phase III Pro Forma'!$F$284:$Z$284,0)),0)</f>
        <v>0</v>
      </c>
      <c r="V5" s="151">
        <f ca="1">+IFERROR(INDEX('Phase III Pro Forma'!$F$309:$Z$309,1,MATCH('Cash Flow Roll-up'!V$2,'Phase III Pro Forma'!$F$284:$Z$284,0)),0)</f>
        <v>0</v>
      </c>
      <c r="W5" s="151">
        <f ca="1">+IFERROR(INDEX('Phase III Pro Forma'!$F$309:$Z$309,1,MATCH('Cash Flow Roll-up'!W$2,'Phase III Pro Forma'!$F$284:$Z$284,0)),0)</f>
        <v>0</v>
      </c>
      <c r="X5" s="151">
        <f ca="1">+IFERROR(INDEX('Phase III Pro Forma'!$F$309:$Z$309,1,MATCH('Cash Flow Roll-up'!X$2,'Phase III Pro Forma'!$F$284:$Z$284,0)),0)</f>
        <v>0</v>
      </c>
      <c r="Y5" s="151">
        <f ca="1">+IFERROR(INDEX('Phase III Pro Forma'!$F$309:$Z$309,1,MATCH('Cash Flow Roll-up'!Y$2,'Phase III Pro Forma'!$F$284:$Z$284,0)),0)</f>
        <v>0</v>
      </c>
      <c r="Z5" s="151">
        <f ca="1">+IFERROR(INDEX('Phase III Pro Forma'!$F$309:$Z$309,1,MATCH('Cash Flow Roll-up'!Z$2,'Phase III Pro Forma'!$F$284:$Z$284,0)),0)</f>
        <v>0</v>
      </c>
    </row>
    <row r="6" spans="2:26" x14ac:dyDescent="0.35">
      <c r="B6" s="166" t="s">
        <v>401</v>
      </c>
      <c r="C6" s="166"/>
      <c r="D6" s="166"/>
      <c r="E6" s="166"/>
      <c r="F6" s="167">
        <f t="shared" ref="F6:Z6" ca="1" si="2">+SUM(F3:F5)</f>
        <v>-51495790.787373006</v>
      </c>
      <c r="G6" s="167">
        <f t="shared" ca="1" si="2"/>
        <v>-12663221.150123715</v>
      </c>
      <c r="H6" s="167">
        <f t="shared" ca="1" si="2"/>
        <v>-18868356.37705791</v>
      </c>
      <c r="I6" s="167">
        <f t="shared" ca="1" si="2"/>
        <v>7489583.1280731447</v>
      </c>
      <c r="J6" s="167">
        <f t="shared" ca="1" si="2"/>
        <v>-46891882.650740281</v>
      </c>
      <c r="K6" s="167">
        <f t="shared" ca="1" si="2"/>
        <v>-7898.0355592891574</v>
      </c>
      <c r="L6" s="167">
        <f t="shared" ca="1" si="2"/>
        <v>10725321.70894854</v>
      </c>
      <c r="M6" s="167">
        <f t="shared" ca="1" si="2"/>
        <v>48148565.769798756</v>
      </c>
      <c r="N6" s="167">
        <f t="shared" ca="1" si="2"/>
        <v>17998755.055716224</v>
      </c>
      <c r="O6" s="167">
        <f t="shared" ca="1" si="2"/>
        <v>18976722.244561605</v>
      </c>
      <c r="P6" s="167">
        <f t="shared" ca="1" si="2"/>
        <v>522658533.19528902</v>
      </c>
      <c r="Q6" s="167">
        <f t="shared" ca="1" si="2"/>
        <v>0</v>
      </c>
      <c r="R6" s="167">
        <f t="shared" ca="1" si="2"/>
        <v>0</v>
      </c>
      <c r="S6" s="167">
        <f t="shared" ca="1" si="2"/>
        <v>0</v>
      </c>
      <c r="T6" s="167">
        <f t="shared" ca="1" si="2"/>
        <v>0</v>
      </c>
      <c r="U6" s="167">
        <f t="shared" ca="1" si="2"/>
        <v>0</v>
      </c>
      <c r="V6" s="167">
        <f t="shared" ca="1" si="2"/>
        <v>0</v>
      </c>
      <c r="W6" s="167">
        <f t="shared" ca="1" si="2"/>
        <v>0</v>
      </c>
      <c r="X6" s="167">
        <f t="shared" ca="1" si="2"/>
        <v>0</v>
      </c>
      <c r="Y6" s="167">
        <f t="shared" ca="1" si="2"/>
        <v>0</v>
      </c>
      <c r="Z6" s="167">
        <f t="shared" ca="1" si="2"/>
        <v>0</v>
      </c>
    </row>
    <row r="7" spans="2:26" x14ac:dyDescent="0.35"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2:26" x14ac:dyDescent="0.35">
      <c r="B8" s="190" t="s">
        <v>361</v>
      </c>
      <c r="C8" s="190"/>
      <c r="D8" s="191">
        <f ca="1">+IRR(F6:Z6)</f>
        <v>0.22324328826435935</v>
      </c>
    </row>
    <row r="9" spans="2:26" x14ac:dyDescent="0.35">
      <c r="B9" s="194" t="s">
        <v>359</v>
      </c>
      <c r="C9" s="193"/>
      <c r="D9" s="225">
        <f ca="1">+SUM(F6:Z6)</f>
        <v>496070332.10153306</v>
      </c>
    </row>
    <row r="11" spans="2:26" x14ac:dyDescent="0.35">
      <c r="B11" s="148" t="s">
        <v>402</v>
      </c>
    </row>
    <row r="12" spans="2:26" x14ac:dyDescent="0.35">
      <c r="B12" s="33" t="s">
        <v>21</v>
      </c>
      <c r="D12" s="48">
        <f ca="1">+SUM(F12:Z12)</f>
        <v>387717641.2875011</v>
      </c>
      <c r="F12" s="34">
        <f ca="1">+IFERROR(INDEX('Phase I Pro Forma'!$F$351:$Z$351,1,MATCH('Cash Flow Roll-up'!F$2,'Phase I Pro Forma'!$F$284:$Z$284,0)),0)</f>
        <v>-51495790.787373006</v>
      </c>
      <c r="G12" s="34">
        <f ca="1">+IFERROR(INDEX('Phase I Pro Forma'!$F$351:$Z$351,1,MATCH('Cash Flow Roll-up'!G$2,'Phase I Pro Forma'!$F$284:$Z$284,0)),0)</f>
        <v>-157132229.98279142</v>
      </c>
      <c r="H12" s="34">
        <f ca="1">+IFERROR(INDEX('Phase I Pro Forma'!$F$351:$Z$351,1,MATCH('Cash Flow Roll-up'!H$2,'Phase I Pro Forma'!$F$284:$Z$284,0)),0)</f>
        <v>-67152945.779067457</v>
      </c>
      <c r="I12" s="34">
        <f ca="1">+IFERROR(INDEX('Phase I Pro Forma'!$F$351:$Z$351,1,MATCH('Cash Flow Roll-up'!I$2,'Phase I Pro Forma'!$F$284:$Z$284,0)),0)</f>
        <v>12156531.919531263</v>
      </c>
      <c r="J12" s="34">
        <f ca="1">+IFERROR(INDEX('Phase I Pro Forma'!$F$351:$Z$351,1,MATCH('Cash Flow Roll-up'!J$2,'Phase I Pro Forma'!$F$284:$Z$284,0)),0)</f>
        <v>25299756.984119631</v>
      </c>
      <c r="K12" s="34">
        <f ca="1">+IFERROR(INDEX('Phase I Pro Forma'!$F$351:$Z$351,1,MATCH('Cash Flow Roll-up'!K$2,'Phase I Pro Forma'!$F$284:$Z$284,0)),0)</f>
        <v>25918223.302751362</v>
      </c>
      <c r="L12" s="34">
        <f ca="1">+IFERROR(INDEX('Phase I Pro Forma'!$F$351:$Z$351,1,MATCH('Cash Flow Roll-up'!L$2,'Phase I Pro Forma'!$F$284:$Z$284,0)),0)</f>
        <v>27699751.454203915</v>
      </c>
      <c r="M12" s="34">
        <f ca="1">+IFERROR(INDEX('Phase I Pro Forma'!$F$351:$Z$351,1,MATCH('Cash Flow Roll-up'!M$2,'Phase I Pro Forma'!$F$284:$Z$284,0)),0)</f>
        <v>28026377.681195293</v>
      </c>
      <c r="N12" s="34">
        <f ca="1">+IFERROR(INDEX('Phase I Pro Forma'!$F$351:$Z$351,1,MATCH('Cash Flow Roll-up'!N$2,'Phase I Pro Forma'!$F$284:$Z$284,0)),0)</f>
        <v>28470939.905564785</v>
      </c>
      <c r="O12" s="34">
        <f ca="1">+IFERROR(INDEX('Phase I Pro Forma'!$F$351:$Z$351,1,MATCH('Cash Flow Roll-up'!O$2,'Phase I Pro Forma'!$F$284:$Z$284,0)),0)</f>
        <v>28926898.728953872</v>
      </c>
      <c r="P12" s="34">
        <f ca="1">+IFERROR(INDEX('Phase I Pro Forma'!$F$351:$Z$351,1,MATCH('Cash Flow Roll-up'!P$2,'Phase I Pro Forma'!$F$284:$Z$284,0)),0)</f>
        <v>487000127.8604129</v>
      </c>
      <c r="Q12" s="34">
        <f ca="1">+IFERROR(INDEX('Phase I Pro Forma'!$F$351:$Z$351,1,MATCH('Cash Flow Roll-up'!Q$2,'Phase I Pro Forma'!$F$284:$Z$284,0)),0)</f>
        <v>0</v>
      </c>
      <c r="R12" s="34">
        <f ca="1">+IFERROR(INDEX('Phase I Pro Forma'!$F$351:$Z$351,1,MATCH('Cash Flow Roll-up'!R$2,'Phase I Pro Forma'!$F$284:$Z$284,0)),0)</f>
        <v>0</v>
      </c>
      <c r="S12" s="34">
        <f ca="1">+IFERROR(INDEX('Phase I Pro Forma'!$F$351:$Z$351,1,MATCH('Cash Flow Roll-up'!S$2,'Phase I Pro Forma'!$F$284:$Z$284,0)),0)</f>
        <v>0</v>
      </c>
      <c r="T12" s="34">
        <f ca="1">+IFERROR(INDEX('Phase I Pro Forma'!$F$351:$Z$351,1,MATCH('Cash Flow Roll-up'!T$2,'Phase I Pro Forma'!$F$284:$Z$284,0)),0)</f>
        <v>0</v>
      </c>
      <c r="U12" s="34">
        <f ca="1">+IFERROR(INDEX('Phase I Pro Forma'!$F$351:$Z$351,1,MATCH('Cash Flow Roll-up'!U$2,'Phase I Pro Forma'!$F$284:$Z$284,0)),0)</f>
        <v>0</v>
      </c>
      <c r="V12" s="34">
        <f ca="1">+IFERROR(INDEX('Phase I Pro Forma'!$F$351:$Z$351,1,MATCH('Cash Flow Roll-up'!V$2,'Phase I Pro Forma'!$F$284:$Z$284,0)),0)</f>
        <v>0</v>
      </c>
      <c r="W12" s="34">
        <f ca="1">+IFERROR(INDEX('Phase I Pro Forma'!$F$351:$Z$351,1,MATCH('Cash Flow Roll-up'!W$2,'Phase I Pro Forma'!$F$284:$Z$284,0)),0)</f>
        <v>0</v>
      </c>
      <c r="X12" s="34">
        <f ca="1">+IFERROR(INDEX('Phase I Pro Forma'!$F$351:$Z$351,1,MATCH('Cash Flow Roll-up'!X$2,'Phase I Pro Forma'!$F$284:$Z$284,0)),0)</f>
        <v>0</v>
      </c>
      <c r="Y12" s="34">
        <f ca="1">+IFERROR(INDEX('Phase I Pro Forma'!$F$351:$Z$351,1,MATCH('Cash Flow Roll-up'!Y$2,'Phase I Pro Forma'!$F$284:$Z$284,0)),0)</f>
        <v>0</v>
      </c>
      <c r="Z12" s="34">
        <f ca="1">+IFERROR(INDEX('Phase I Pro Forma'!$F$351:$Z$351,1,MATCH('Cash Flow Roll-up'!Z$2,'Phase I Pro Forma'!$F$284:$Z$284,0)),0)</f>
        <v>0</v>
      </c>
    </row>
    <row r="13" spans="2:26" x14ac:dyDescent="0.35">
      <c r="B13" s="33" t="s">
        <v>381</v>
      </c>
      <c r="D13" s="24">
        <f ca="1">+SUM(F13:Z13)</f>
        <v>188895701.85019624</v>
      </c>
      <c r="F13" s="151">
        <f>+IFERROR(INDEX('Phase II Pro Forma'!$F$351:$Z$351,1,MATCH('Cash Flow Roll-up'!F$2,'Phase II Pro Forma'!$F$284:$Z$284,0)),0)</f>
        <v>0</v>
      </c>
      <c r="G13" s="151">
        <f>+IFERROR(INDEX('Phase II Pro Forma'!$F$351:$Z$351,1,MATCH('Cash Flow Roll-up'!G$2,'Phase II Pro Forma'!$F$284:$Z$284,0)),0)</f>
        <v>0</v>
      </c>
      <c r="H13" s="151">
        <f ca="1">+IFERROR(INDEX('Phase II Pro Forma'!$F$351:$Z$351,1,MATCH('Cash Flow Roll-up'!H$2,'Phase II Pro Forma'!$F$284:$Z$284,0)),0)</f>
        <v>-18868356.37705791</v>
      </c>
      <c r="I13" s="151">
        <f ca="1">+IFERROR(INDEX('Phase II Pro Forma'!$F$351:$Z$351,1,MATCH('Cash Flow Roll-up'!I$2,'Phase II Pro Forma'!$F$284:$Z$284,0)),0)</f>
        <v>-91800710.268615231</v>
      </c>
      <c r="J13" s="151">
        <f ca="1">+IFERROR(INDEX('Phase II Pro Forma'!$F$351:$Z$351,1,MATCH('Cash Flow Roll-up'!J$2,'Phase II Pro Forma'!$F$284:$Z$284,0)),0)</f>
        <v>-42600803.100950733</v>
      </c>
      <c r="K13" s="151">
        <f ca="1">+IFERROR(INDEX('Phase II Pro Forma'!$F$351:$Z$351,1,MATCH('Cash Flow Roll-up'!K$2,'Phase II Pro Forma'!$F$284:$Z$284,0)),0)</f>
        <v>6946822.2629323117</v>
      </c>
      <c r="L13" s="151">
        <f ca="1">+IFERROR(INDEX('Phase II Pro Forma'!$F$351:$Z$351,1,MATCH('Cash Flow Roll-up'!L$2,'Phase II Pro Forma'!$F$284:$Z$284,0)),0)</f>
        <v>14485528.459140711</v>
      </c>
      <c r="M13" s="151">
        <f ca="1">+IFERROR(INDEX('Phase II Pro Forma'!$F$351:$Z$351,1,MATCH('Cash Flow Roll-up'!M$2,'Phase II Pro Forma'!$F$284:$Z$284,0)),0)</f>
        <v>14919107.173988493</v>
      </c>
      <c r="N13" s="151">
        <f ca="1">+IFERROR(INDEX('Phase II Pro Forma'!$F$351:$Z$351,1,MATCH('Cash Flow Roll-up'!N$2,'Phase II Pro Forma'!$F$284:$Z$284,0)),0)</f>
        <v>15824066.265007691</v>
      </c>
      <c r="O13" s="151">
        <f ca="1">+IFERROR(INDEX('Phase II Pro Forma'!$F$351:$Z$351,1,MATCH('Cash Flow Roll-up'!O$2,'Phase II Pro Forma'!$F$284:$Z$284,0)),0)</f>
        <v>16063300.346618449</v>
      </c>
      <c r="P13" s="151">
        <f ca="1">+IFERROR(INDEX('Phase II Pro Forma'!$F$351:$Z$351,1,MATCH('Cash Flow Roll-up'!P$2,'Phase II Pro Forma'!$F$284:$Z$284,0)),0)</f>
        <v>273926747.08913231</v>
      </c>
      <c r="Q13" s="151">
        <f ca="1">+IFERROR(INDEX('Phase II Pro Forma'!$F$351:$Z$351,1,MATCH('Cash Flow Roll-up'!Q$2,'Phase II Pro Forma'!$F$284:$Z$284,0)),0)</f>
        <v>0</v>
      </c>
      <c r="R13" s="151">
        <f ca="1">+IFERROR(INDEX('Phase II Pro Forma'!$F$351:$Z$351,1,MATCH('Cash Flow Roll-up'!R$2,'Phase II Pro Forma'!$F$284:$Z$284,0)),0)</f>
        <v>0</v>
      </c>
      <c r="S13" s="151">
        <f ca="1">+IFERROR(INDEX('Phase II Pro Forma'!$F$351:$Z$351,1,MATCH('Cash Flow Roll-up'!S$2,'Phase II Pro Forma'!$F$284:$Z$284,0)),0)</f>
        <v>0</v>
      </c>
      <c r="T13" s="151">
        <f ca="1">+IFERROR(INDEX('Phase II Pro Forma'!$F$351:$Z$351,1,MATCH('Cash Flow Roll-up'!T$2,'Phase II Pro Forma'!$F$284:$Z$284,0)),0)</f>
        <v>0</v>
      </c>
      <c r="U13" s="151">
        <f ca="1">+IFERROR(INDEX('Phase II Pro Forma'!$F$351:$Z$351,1,MATCH('Cash Flow Roll-up'!U$2,'Phase II Pro Forma'!$F$284:$Z$284,0)),0)</f>
        <v>0</v>
      </c>
      <c r="V13" s="151">
        <f ca="1">+IFERROR(INDEX('Phase II Pro Forma'!$F$351:$Z$351,1,MATCH('Cash Flow Roll-up'!V$2,'Phase II Pro Forma'!$F$284:$Z$284,0)),0)</f>
        <v>0</v>
      </c>
      <c r="W13" s="151">
        <f ca="1">+IFERROR(INDEX('Phase II Pro Forma'!$F$351:$Z$351,1,MATCH('Cash Flow Roll-up'!W$2,'Phase II Pro Forma'!$F$284:$Z$284,0)),0)</f>
        <v>0</v>
      </c>
      <c r="X13" s="151">
        <f ca="1">+IFERROR(INDEX('Phase II Pro Forma'!$F$351:$Z$351,1,MATCH('Cash Flow Roll-up'!X$2,'Phase II Pro Forma'!$F$284:$Z$284,0)),0)</f>
        <v>0</v>
      </c>
      <c r="Y13" s="151">
        <f ca="1">+IFERROR(INDEX('Phase II Pro Forma'!$F$351:$Z$351,1,MATCH('Cash Flow Roll-up'!Y$2,'Phase II Pro Forma'!$F$284:$Z$284,0)),0)</f>
        <v>0</v>
      </c>
      <c r="Z13" s="151">
        <f ca="1">+IFERROR(INDEX('Phase II Pro Forma'!$F$351:$Z$351,1,MATCH('Cash Flow Roll-up'!Z$2,'Phase II Pro Forma'!$F$284:$Z$284,0)),0)</f>
        <v>0</v>
      </c>
    </row>
    <row r="14" spans="2:26" x14ac:dyDescent="0.35">
      <c r="B14" s="33" t="s">
        <v>384</v>
      </c>
      <c r="D14" s="24">
        <f ca="1">+SUM(F14:Z14)</f>
        <v>261800366.82297057</v>
      </c>
      <c r="F14" s="151">
        <f>+IFERROR(INDEX('Phase III Pro Forma'!$F$351:$Z$351,1,MATCH('Cash Flow Roll-up'!F$2,'Phase III Pro Forma'!$F$284:$Z$284,0)),0)</f>
        <v>0</v>
      </c>
      <c r="G14" s="151">
        <f>+IFERROR(INDEX('Phase III Pro Forma'!$F$351:$Z$351,1,MATCH('Cash Flow Roll-up'!G$2,'Phase III Pro Forma'!$F$284:$Z$284,0)),0)</f>
        <v>0</v>
      </c>
      <c r="H14" s="151">
        <f>+IFERROR(INDEX('Phase III Pro Forma'!$F$351:$Z$351,1,MATCH('Cash Flow Roll-up'!H$2,'Phase III Pro Forma'!$F$284:$Z$284,0)),0)</f>
        <v>0</v>
      </c>
      <c r="I14" s="151">
        <f>+IFERROR(INDEX('Phase III Pro Forma'!$F$351:$Z$351,1,MATCH('Cash Flow Roll-up'!I$2,'Phase III Pro Forma'!$F$284:$Z$284,0)),0)</f>
        <v>0</v>
      </c>
      <c r="J14" s="151">
        <f ca="1">+IFERROR(INDEX('Phase III Pro Forma'!$F$351:$Z$351,1,MATCH('Cash Flow Roll-up'!J$2,'Phase III Pro Forma'!$F$284:$Z$284,0)),0)</f>
        <v>-52170014.936448134</v>
      </c>
      <c r="K14" s="151">
        <f ca="1">+IFERROR(INDEX('Phase III Pro Forma'!$F$351:$Z$351,1,MATCH('Cash Flow Roll-up'!K$2,'Phase III Pro Forma'!$F$284:$Z$284,0)),0)</f>
        <v>-154099104.05735764</v>
      </c>
      <c r="L14" s="151">
        <f ca="1">+IFERROR(INDEX('Phase III Pro Forma'!$F$351:$Z$351,1,MATCH('Cash Flow Roll-up'!L$2,'Phase III Pro Forma'!$F$284:$Z$284,0)),0)</f>
        <v>-79260274.975313544</v>
      </c>
      <c r="M14" s="151">
        <f ca="1">+IFERROR(INDEX('Phase III Pro Forma'!$F$351:$Z$351,1,MATCH('Cash Flow Roll-up'!M$2,'Phase III Pro Forma'!$F$284:$Z$284,0)),0)</f>
        <v>12808687.546966918</v>
      </c>
      <c r="N14" s="151">
        <f ca="1">+IFERROR(INDEX('Phase III Pro Forma'!$F$351:$Z$351,1,MATCH('Cash Flow Roll-up'!N$2,'Phase III Pro Forma'!$F$284:$Z$284,0)),0)</f>
        <v>25878867.69548618</v>
      </c>
      <c r="O14" s="151">
        <f ca="1">+IFERROR(INDEX('Phase III Pro Forma'!$F$351:$Z$351,1,MATCH('Cash Flow Roll-up'!O$2,'Phase III Pro Forma'!$F$284:$Z$284,0)),0)</f>
        <v>26161641.979331717</v>
      </c>
      <c r="P14" s="151">
        <f ca="1">+IFERROR(INDEX('Phase III Pro Forma'!$F$351:$Z$351,1,MATCH('Cash Flow Roll-up'!P$2,'Phase III Pro Forma'!$F$284:$Z$284,0)),0)</f>
        <v>482480563.57030499</v>
      </c>
      <c r="Q14" s="151">
        <f ca="1">+IFERROR(INDEX('Phase III Pro Forma'!$F$351:$Z$351,1,MATCH('Cash Flow Roll-up'!Q$2,'Phase III Pro Forma'!$F$284:$Z$284,0)),0)</f>
        <v>0</v>
      </c>
      <c r="R14" s="151">
        <f ca="1">+IFERROR(INDEX('Phase III Pro Forma'!$F$351:$Z$351,1,MATCH('Cash Flow Roll-up'!R$2,'Phase III Pro Forma'!$F$284:$Z$284,0)),0)</f>
        <v>0</v>
      </c>
      <c r="S14" s="151">
        <f ca="1">+IFERROR(INDEX('Phase III Pro Forma'!$F$351:$Z$351,1,MATCH('Cash Flow Roll-up'!S$2,'Phase III Pro Forma'!$F$284:$Z$284,0)),0)</f>
        <v>0</v>
      </c>
      <c r="T14" s="151">
        <f ca="1">+IFERROR(INDEX('Phase III Pro Forma'!$F$351:$Z$351,1,MATCH('Cash Flow Roll-up'!T$2,'Phase III Pro Forma'!$F$284:$Z$284,0)),0)</f>
        <v>0</v>
      </c>
      <c r="U14" s="151">
        <f ca="1">+IFERROR(INDEX('Phase III Pro Forma'!$F$351:$Z$351,1,MATCH('Cash Flow Roll-up'!U$2,'Phase III Pro Forma'!$F$284:$Z$284,0)),0)</f>
        <v>0</v>
      </c>
      <c r="V14" s="151">
        <f ca="1">+IFERROR(INDEX('Phase III Pro Forma'!$F$351:$Z$351,1,MATCH('Cash Flow Roll-up'!V$2,'Phase III Pro Forma'!$F$284:$Z$284,0)),0)</f>
        <v>0</v>
      </c>
      <c r="W14" s="151">
        <f ca="1">+IFERROR(INDEX('Phase III Pro Forma'!$F$351:$Z$351,1,MATCH('Cash Flow Roll-up'!W$2,'Phase III Pro Forma'!$F$284:$Z$284,0)),0)</f>
        <v>0</v>
      </c>
      <c r="X14" s="151">
        <f ca="1">+IFERROR(INDEX('Phase III Pro Forma'!$F$351:$Z$351,1,MATCH('Cash Flow Roll-up'!X$2,'Phase III Pro Forma'!$F$284:$Z$284,0)),0)</f>
        <v>0</v>
      </c>
      <c r="Y14" s="151">
        <f ca="1">+IFERROR(INDEX('Phase III Pro Forma'!$F$351:$Z$351,1,MATCH('Cash Flow Roll-up'!Y$2,'Phase III Pro Forma'!$F$284:$Z$284,0)),0)</f>
        <v>0</v>
      </c>
      <c r="Z14" s="151">
        <f ca="1">+IFERROR(INDEX('Phase III Pro Forma'!$F$351:$Z$351,1,MATCH('Cash Flow Roll-up'!Z$2,'Phase III Pro Forma'!$F$284:$Z$284,0)),0)</f>
        <v>0</v>
      </c>
    </row>
    <row r="15" spans="2:26" x14ac:dyDescent="0.35">
      <c r="B15" s="166" t="s">
        <v>403</v>
      </c>
      <c r="C15" s="166"/>
      <c r="D15" s="166"/>
      <c r="E15" s="166"/>
      <c r="F15" s="167">
        <f t="shared" ref="F15:Z15" ca="1" si="3">+SUM(F12:F14)</f>
        <v>-51495790.787373006</v>
      </c>
      <c r="G15" s="167">
        <f t="shared" ca="1" si="3"/>
        <v>-157132229.98279142</v>
      </c>
      <c r="H15" s="167">
        <f t="shared" ca="1" si="3"/>
        <v>-86021302.156125367</v>
      </c>
      <c r="I15" s="167">
        <f t="shared" ca="1" si="3"/>
        <v>-79644178.34908396</v>
      </c>
      <c r="J15" s="167">
        <f t="shared" ca="1" si="3"/>
        <v>-69471061.053279236</v>
      </c>
      <c r="K15" s="167">
        <f t="shared" ca="1" si="3"/>
        <v>-121234058.49167396</v>
      </c>
      <c r="L15" s="167">
        <f t="shared" ca="1" si="3"/>
        <v>-37074995.061968923</v>
      </c>
      <c r="M15" s="167">
        <f t="shared" ca="1" si="3"/>
        <v>55754172.402150705</v>
      </c>
      <c r="N15" s="167">
        <f t="shared" ca="1" si="3"/>
        <v>70173873.866058648</v>
      </c>
      <c r="O15" s="167">
        <f t="shared" ca="1" si="3"/>
        <v>71151841.054904044</v>
      </c>
      <c r="P15" s="167">
        <f t="shared" ca="1" si="3"/>
        <v>1243407438.5198503</v>
      </c>
      <c r="Q15" s="167">
        <f t="shared" ca="1" si="3"/>
        <v>0</v>
      </c>
      <c r="R15" s="167">
        <f t="shared" ca="1" si="3"/>
        <v>0</v>
      </c>
      <c r="S15" s="167">
        <f t="shared" ca="1" si="3"/>
        <v>0</v>
      </c>
      <c r="T15" s="167">
        <f t="shared" ca="1" si="3"/>
        <v>0</v>
      </c>
      <c r="U15" s="167">
        <f t="shared" ca="1" si="3"/>
        <v>0</v>
      </c>
      <c r="V15" s="167">
        <f t="shared" ca="1" si="3"/>
        <v>0</v>
      </c>
      <c r="W15" s="167">
        <f t="shared" ca="1" si="3"/>
        <v>0</v>
      </c>
      <c r="X15" s="167">
        <f t="shared" ca="1" si="3"/>
        <v>0</v>
      </c>
      <c r="Y15" s="167">
        <f t="shared" ca="1" si="3"/>
        <v>0</v>
      </c>
      <c r="Z15" s="167">
        <f t="shared" ca="1" si="3"/>
        <v>0</v>
      </c>
    </row>
    <row r="17" spans="2:26" x14ac:dyDescent="0.35">
      <c r="B17" s="190" t="s">
        <v>399</v>
      </c>
      <c r="C17" s="190"/>
      <c r="D17" s="191">
        <f ca="1">+IRR(F15:Z15)</f>
        <v>0.13026177012390683</v>
      </c>
    </row>
    <row r="18" spans="2:26" x14ac:dyDescent="0.35">
      <c r="B18" s="194" t="s">
        <v>359</v>
      </c>
      <c r="C18" s="193"/>
      <c r="D18" s="225">
        <f ca="1">+SUM(F15:Z15)</f>
        <v>838413709.96066785</v>
      </c>
    </row>
    <row r="20" spans="2:26" x14ac:dyDescent="0.35">
      <c r="B20" s="148" t="s">
        <v>656</v>
      </c>
    </row>
    <row r="21" spans="2:26" x14ac:dyDescent="0.35">
      <c r="B21" s="33" t="s">
        <v>21</v>
      </c>
      <c r="D21" s="48">
        <f ca="1">+SUM(F21:Z21)</f>
        <v>370280348.13366914</v>
      </c>
      <c r="F21" s="34">
        <f ca="1">+IFERROR(INDEX('Phase I Pro Forma'!$F$380:$Z$380,1,MATCH('Cash Flow Roll-up'!F$2,'Phase I Pro Forma'!$F$284:$Z$284,0)),0)</f>
        <v>-40681674.722024679</v>
      </c>
      <c r="G21" s="34">
        <f ca="1">+IFERROR(INDEX('Phase I Pro Forma'!$F$380:$Z$380,1,MATCH('Cash Flow Roll-up'!G$2,'Phase I Pro Forma'!$F$284:$Z$284,0)),0)</f>
        <v>-124134461.68640523</v>
      </c>
      <c r="H21" s="34">
        <f ca="1">+IFERROR(INDEX('Phase I Pro Forma'!$F$380:$Z$380,1,MATCH('Cash Flow Roll-up'!H$2,'Phase I Pro Forma'!$F$284:$Z$284,0)),0)</f>
        <v>-53050827.165463291</v>
      </c>
      <c r="I21" s="34">
        <f ca="1">+IFERROR(INDEX('Phase I Pro Forma'!$F$380:$Z$380,1,MATCH('Cash Flow Roll-up'!I$2,'Phase I Pro Forma'!$F$284:$Z$284,0)),0)</f>
        <v>9603660.2164296992</v>
      </c>
      <c r="J21" s="34">
        <f ca="1">+IFERROR(INDEX('Phase I Pro Forma'!$F$380:$Z$380,1,MATCH('Cash Flow Roll-up'!J$2,'Phase I Pro Forma'!$F$284:$Z$284,0)),0)</f>
        <v>22428273.772779156</v>
      </c>
      <c r="K21" s="34">
        <f ca="1">+IFERROR(INDEX('Phase I Pro Forma'!$F$380:$Z$380,1,MATCH('Cash Flow Roll-up'!K$2,'Phase I Pro Forma'!$F$284:$Z$284,0)),0)</f>
        <v>22916862.164498225</v>
      </c>
      <c r="L21" s="34">
        <f ca="1">+IFERROR(INDEX('Phase I Pro Forma'!$F$380:$Z$380,1,MATCH('Cash Flow Roll-up'!L$2,'Phase I Pro Forma'!$F$284:$Z$284,0)),0)</f>
        <v>-24902633.124892149</v>
      </c>
      <c r="M21" s="34">
        <f ca="1">+IFERROR(INDEX('Phase I Pro Forma'!$F$380:$Z$380,1,MATCH('Cash Flow Roll-up'!M$2,'Phase I Pro Forma'!$F$284:$Z$284,0)),0)</f>
        <v>24582304.123468928</v>
      </c>
      <c r="N21" s="34">
        <f ca="1">+IFERROR(INDEX('Phase I Pro Forma'!$F$380:$Z$380,1,MATCH('Cash Flow Roll-up'!N$2,'Phase I Pro Forma'!$F$284:$Z$284,0)),0)</f>
        <v>24933508.280720826</v>
      </c>
      <c r="O21" s="34">
        <f ca="1">+IFERROR(INDEX('Phase I Pro Forma'!$F$380:$Z$380,1,MATCH('Cash Flow Roll-up'!O$2,'Phase I Pro Forma'!$F$284:$Z$284,0)),0)</f>
        <v>25293715.751198206</v>
      </c>
      <c r="P21" s="34">
        <f ca="1">+IFERROR(INDEX('Phase I Pro Forma'!$F$380:$Z$380,1,MATCH('Cash Flow Roll-up'!P$2,'Phase I Pro Forma'!$F$284:$Z$284,0)),0)</f>
        <v>483291620.52335942</v>
      </c>
      <c r="Q21" s="34">
        <f ca="1">+IFERROR(INDEX('Phase I Pro Forma'!$F$380:$Z$380,1,MATCH('Cash Flow Roll-up'!Q$2,'Phase I Pro Forma'!$F$284:$Z$284,0)),0)</f>
        <v>0</v>
      </c>
      <c r="R21" s="34">
        <f ca="1">+IFERROR(INDEX('Phase I Pro Forma'!$F$380:$Z$380,1,MATCH('Cash Flow Roll-up'!R$2,'Phase I Pro Forma'!$F$284:$Z$284,0)),0)</f>
        <v>0</v>
      </c>
      <c r="S21" s="34">
        <f ca="1">+IFERROR(INDEX('Phase I Pro Forma'!$F$380:$Z$380,1,MATCH('Cash Flow Roll-up'!S$2,'Phase I Pro Forma'!$F$284:$Z$284,0)),0)</f>
        <v>0</v>
      </c>
      <c r="T21" s="34">
        <f ca="1">+IFERROR(INDEX('Phase I Pro Forma'!$F$380:$Z$380,1,MATCH('Cash Flow Roll-up'!T$2,'Phase I Pro Forma'!$F$284:$Z$284,0)),0)</f>
        <v>0</v>
      </c>
      <c r="U21" s="34">
        <f ca="1">+IFERROR(INDEX('Phase I Pro Forma'!$F$380:$Z$380,1,MATCH('Cash Flow Roll-up'!U$2,'Phase I Pro Forma'!$F$284:$Z$284,0)),0)</f>
        <v>0</v>
      </c>
      <c r="V21" s="34">
        <f ca="1">+IFERROR(INDEX('Phase I Pro Forma'!$F$380:$Z$380,1,MATCH('Cash Flow Roll-up'!V$2,'Phase I Pro Forma'!$F$284:$Z$284,0)),0)</f>
        <v>0</v>
      </c>
      <c r="W21" s="34">
        <f ca="1">+IFERROR(INDEX('Phase I Pro Forma'!$F$380:$Z$380,1,MATCH('Cash Flow Roll-up'!W$2,'Phase I Pro Forma'!$F$284:$Z$284,0)),0)</f>
        <v>0</v>
      </c>
      <c r="X21" s="34">
        <f ca="1">+IFERROR(INDEX('Phase I Pro Forma'!$F$380:$Z$380,1,MATCH('Cash Flow Roll-up'!X$2,'Phase I Pro Forma'!$F$284:$Z$284,0)),0)</f>
        <v>0</v>
      </c>
      <c r="Y21" s="34">
        <f ca="1">+IFERROR(INDEX('Phase I Pro Forma'!$F$380:$Z$380,1,MATCH('Cash Flow Roll-up'!Y$2,'Phase I Pro Forma'!$F$284:$Z$284,0)),0)</f>
        <v>0</v>
      </c>
      <c r="Z21" s="34">
        <f ca="1">+IFERROR(INDEX('Phase I Pro Forma'!$F$380:$Z$380,1,MATCH('Cash Flow Roll-up'!Z$2,'Phase I Pro Forma'!$F$284:$Z$284,0)),0)</f>
        <v>0</v>
      </c>
    </row>
    <row r="22" spans="2:26" x14ac:dyDescent="0.35">
      <c r="B22" s="33" t="s">
        <v>381</v>
      </c>
      <c r="D22" s="24">
        <f ca="1">+SUM(F22:Z22)</f>
        <v>153608296.92611372</v>
      </c>
      <c r="F22" s="151">
        <f>+IFERROR(INDEX('Phase II Pro Forma'!$F$380:$Z$380,1,MATCH('Cash Flow Roll-up'!F$2,'Phase II Pro Forma'!$F$284:$Z$284,0)),0)</f>
        <v>0</v>
      </c>
      <c r="G22" s="151">
        <f>+IFERROR(INDEX('Phase II Pro Forma'!$F$380:$Z$380,1,MATCH('Cash Flow Roll-up'!G$2,'Phase II Pro Forma'!$F$284:$Z$284,0)),0)</f>
        <v>0</v>
      </c>
      <c r="H22" s="151">
        <f ca="1">+IFERROR(INDEX('Phase II Pro Forma'!$F$380:$Z$380,1,MATCH('Cash Flow Roll-up'!H$2,'Phase II Pro Forma'!$F$284:$Z$284,0)),0)</f>
        <v>-14906001.537875749</v>
      </c>
      <c r="I22" s="151">
        <f ca="1">+IFERROR(INDEX('Phase II Pro Forma'!$F$380:$Z$380,1,MATCH('Cash Flow Roll-up'!I$2,'Phase II Pro Forma'!$F$284:$Z$284,0)),0)</f>
        <v>-72522561.112206042</v>
      </c>
      <c r="J22" s="151">
        <f ca="1">+IFERROR(INDEX('Phase II Pro Forma'!$F$380:$Z$380,1,MATCH('Cash Flow Roll-up'!J$2,'Phase II Pro Forma'!$F$284:$Z$284,0)),0)</f>
        <v>-33654634.449751079</v>
      </c>
      <c r="K22" s="151">
        <f ca="1">+IFERROR(INDEX('Phase II Pro Forma'!$F$380:$Z$380,1,MATCH('Cash Flow Roll-up'!K$2,'Phase II Pro Forma'!$F$284:$Z$284,0)),0)</f>
        <v>5487989.5877165264</v>
      </c>
      <c r="L22" s="151">
        <f ca="1">+IFERROR(INDEX('Phase II Pro Forma'!$F$380:$Z$380,1,MATCH('Cash Flow Roll-up'!L$2,'Phase II Pro Forma'!$F$284:$Z$284,0)),0)</f>
        <v>-15007762.656324562</v>
      </c>
      <c r="M22" s="151">
        <f ca="1">+IFERROR(INDEX('Phase II Pro Forma'!$F$380:$Z$380,1,MATCH('Cash Flow Roll-up'!M$2,'Phase II Pro Forma'!$F$284:$Z$284,0)),0)</f>
        <v>13140744.710737532</v>
      </c>
      <c r="N22" s="151">
        <f ca="1">+IFERROR(INDEX('Phase II Pro Forma'!$F$380:$Z$380,1,MATCH('Cash Flow Roll-up'!N$2,'Phase II Pro Forma'!$F$284:$Z$284,0)),0)</f>
        <v>13855662.392642697</v>
      </c>
      <c r="O22" s="151">
        <f ca="1">+IFERROR(INDEX('Phase II Pro Forma'!$F$380:$Z$380,1,MATCH('Cash Flow Roll-up'!O$2,'Phase II Pro Forma'!$F$284:$Z$284,0)),0)</f>
        <v>14044657.317115197</v>
      </c>
      <c r="P22" s="151">
        <f ca="1">+IFERROR(INDEX('Phase II Pro Forma'!$F$380:$Z$380,1,MATCH('Cash Flow Roll-up'!P$2,'Phase II Pro Forma'!$F$284:$Z$284,0)),0)</f>
        <v>243170202.67405909</v>
      </c>
      <c r="Q22" s="151">
        <f ca="1">+IFERROR(INDEX('Phase II Pro Forma'!$F$380:$Z$380,1,MATCH('Cash Flow Roll-up'!Q$2,'Phase II Pro Forma'!$F$284:$Z$284,0)),0)</f>
        <v>0</v>
      </c>
      <c r="R22" s="151">
        <f ca="1">+IFERROR(INDEX('Phase II Pro Forma'!$F$380:$Z$380,1,MATCH('Cash Flow Roll-up'!R$2,'Phase II Pro Forma'!$F$284:$Z$284,0)),0)</f>
        <v>0</v>
      </c>
      <c r="S22" s="151">
        <f ca="1">+IFERROR(INDEX('Phase II Pro Forma'!$F$380:$Z$380,1,MATCH('Cash Flow Roll-up'!S$2,'Phase II Pro Forma'!$F$284:$Z$284,0)),0)</f>
        <v>0</v>
      </c>
      <c r="T22" s="151">
        <f ca="1">+IFERROR(INDEX('Phase II Pro Forma'!$F$380:$Z$380,1,MATCH('Cash Flow Roll-up'!T$2,'Phase II Pro Forma'!$F$284:$Z$284,0)),0)</f>
        <v>0</v>
      </c>
      <c r="U22" s="151">
        <f ca="1">+IFERROR(INDEX('Phase II Pro Forma'!$F$380:$Z$380,1,MATCH('Cash Flow Roll-up'!U$2,'Phase II Pro Forma'!$F$284:$Z$284,0)),0)</f>
        <v>0</v>
      </c>
      <c r="V22" s="151">
        <f ca="1">+IFERROR(INDEX('Phase II Pro Forma'!$F$380:$Z$380,1,MATCH('Cash Flow Roll-up'!V$2,'Phase II Pro Forma'!$F$284:$Z$284,0)),0)</f>
        <v>0</v>
      </c>
      <c r="W22" s="151">
        <f ca="1">+IFERROR(INDEX('Phase II Pro Forma'!$F$380:$Z$380,1,MATCH('Cash Flow Roll-up'!W$2,'Phase II Pro Forma'!$F$284:$Z$284,0)),0)</f>
        <v>0</v>
      </c>
      <c r="X22" s="151">
        <f ca="1">+IFERROR(INDEX('Phase II Pro Forma'!$F$380:$Z$380,1,MATCH('Cash Flow Roll-up'!X$2,'Phase II Pro Forma'!$F$284:$Z$284,0)),0)</f>
        <v>0</v>
      </c>
      <c r="Y22" s="151">
        <f ca="1">+IFERROR(INDEX('Phase II Pro Forma'!$F$380:$Z$380,1,MATCH('Cash Flow Roll-up'!Y$2,'Phase II Pro Forma'!$F$284:$Z$284,0)),0)</f>
        <v>0</v>
      </c>
      <c r="Z22" s="151">
        <f ca="1">+IFERROR(INDEX('Phase II Pro Forma'!$F$380:$Z$380,1,MATCH('Cash Flow Roll-up'!Z$2,'Phase II Pro Forma'!$F$284:$Z$284,0)),0)</f>
        <v>0</v>
      </c>
    </row>
    <row r="23" spans="2:26" x14ac:dyDescent="0.35">
      <c r="B23" s="33" t="s">
        <v>384</v>
      </c>
      <c r="D23" s="24">
        <f ca="1">+SUM(F23:Z23)</f>
        <v>211153941.28901669</v>
      </c>
      <c r="F23" s="151">
        <f>+IFERROR(INDEX('Phase III Pro Forma'!$F$380:$Z$380,1,MATCH('Cash Flow Roll-up'!F$2,'Phase III Pro Forma'!$F$284:$Z$284,0)),0)</f>
        <v>0</v>
      </c>
      <c r="G23" s="151">
        <f>+IFERROR(INDEX('Phase III Pro Forma'!$F$380:$Z$380,1,MATCH('Cash Flow Roll-up'!G$2,'Phase III Pro Forma'!$F$284:$Z$284,0)),0)</f>
        <v>0</v>
      </c>
      <c r="H23" s="151">
        <f>+IFERROR(INDEX('Phase III Pro Forma'!$F$380:$Z$380,1,MATCH('Cash Flow Roll-up'!H$2,'Phase III Pro Forma'!$F$284:$Z$284,0)),0)</f>
        <v>0</v>
      </c>
      <c r="I23" s="151">
        <f>+IFERROR(INDEX('Phase III Pro Forma'!$F$380:$Z$380,1,MATCH('Cash Flow Roll-up'!I$2,'Phase III Pro Forma'!$F$284:$Z$284,0)),0)</f>
        <v>0</v>
      </c>
      <c r="J23" s="151">
        <f ca="1">+IFERROR(INDEX('Phase III Pro Forma'!$F$380:$Z$380,1,MATCH('Cash Flow Roll-up'!J$2,'Phase III Pro Forma'!$F$284:$Z$284,0)),0)</f>
        <v>-41214311.799794026</v>
      </c>
      <c r="K23" s="151">
        <f ca="1">+IFERROR(INDEX('Phase III Pro Forma'!$F$380:$Z$380,1,MATCH('Cash Flow Roll-up'!K$2,'Phase III Pro Forma'!$F$284:$Z$284,0)),0)</f>
        <v>-121738292.20531254</v>
      </c>
      <c r="L23" s="151">
        <f ca="1">+IFERROR(INDEX('Phase III Pro Forma'!$F$380:$Z$380,1,MATCH('Cash Flow Roll-up'!L$2,'Phase III Pro Forma'!$F$284:$Z$284,0)),0)</f>
        <v>-118245138.46514283</v>
      </c>
      <c r="M23" s="151">
        <f ca="1">+IFERROR(INDEX('Phase III Pro Forma'!$F$380:$Z$380,1,MATCH('Cash Flow Roll-up'!M$2,'Phase III Pro Forma'!$F$284:$Z$284,0)),0)</f>
        <v>10118863.162103865</v>
      </c>
      <c r="N23" s="151">
        <f ca="1">+IFERROR(INDEX('Phase III Pro Forma'!$F$380:$Z$380,1,MATCH('Cash Flow Roll-up'!N$2,'Phase III Pro Forma'!$F$284:$Z$284,0)),0)</f>
        <v>21798955.522720702</v>
      </c>
      <c r="O23" s="151">
        <f ca="1">+IFERROR(INDEX('Phase III Pro Forma'!$F$380:$Z$380,1,MATCH('Cash Flow Roll-up'!O$2,'Phase III Pro Forma'!$F$284:$Z$284,0)),0)</f>
        <v>22022347.206958678</v>
      </c>
      <c r="P23" s="151">
        <f ca="1">+IFERROR(INDEX('Phase III Pro Forma'!$F$380:$Z$380,1,MATCH('Cash Flow Roll-up'!P$2,'Phase III Pro Forma'!$F$284:$Z$284,0)),0)</f>
        <v>438411517.86748272</v>
      </c>
      <c r="Q23" s="151">
        <f ca="1">+IFERROR(INDEX('Phase III Pro Forma'!$F$380:$Z$380,1,MATCH('Cash Flow Roll-up'!Q$2,'Phase III Pro Forma'!$F$284:$Z$284,0)),0)</f>
        <v>0</v>
      </c>
      <c r="R23" s="151">
        <f ca="1">+IFERROR(INDEX('Phase III Pro Forma'!$F$380:$Z$380,1,MATCH('Cash Flow Roll-up'!R$2,'Phase III Pro Forma'!$F$284:$Z$284,0)),0)</f>
        <v>0</v>
      </c>
      <c r="S23" s="151">
        <f ca="1">+IFERROR(INDEX('Phase III Pro Forma'!$F$380:$Z$380,1,MATCH('Cash Flow Roll-up'!S$2,'Phase III Pro Forma'!$F$284:$Z$284,0)),0)</f>
        <v>0</v>
      </c>
      <c r="T23" s="151">
        <f ca="1">+IFERROR(INDEX('Phase III Pro Forma'!$F$380:$Z$380,1,MATCH('Cash Flow Roll-up'!T$2,'Phase III Pro Forma'!$F$284:$Z$284,0)),0)</f>
        <v>0</v>
      </c>
      <c r="U23" s="151">
        <f ca="1">+IFERROR(INDEX('Phase III Pro Forma'!$F$380:$Z$380,1,MATCH('Cash Flow Roll-up'!U$2,'Phase III Pro Forma'!$F$284:$Z$284,0)),0)</f>
        <v>0</v>
      </c>
      <c r="V23" s="151">
        <f ca="1">+IFERROR(INDEX('Phase III Pro Forma'!$F$380:$Z$380,1,MATCH('Cash Flow Roll-up'!V$2,'Phase III Pro Forma'!$F$284:$Z$284,0)),0)</f>
        <v>0</v>
      </c>
      <c r="W23" s="151">
        <f ca="1">+IFERROR(INDEX('Phase III Pro Forma'!$F$380:$Z$380,1,MATCH('Cash Flow Roll-up'!W$2,'Phase III Pro Forma'!$F$284:$Z$284,0)),0)</f>
        <v>0</v>
      </c>
      <c r="X23" s="151">
        <f ca="1">+IFERROR(INDEX('Phase III Pro Forma'!$F$380:$Z$380,1,MATCH('Cash Flow Roll-up'!X$2,'Phase III Pro Forma'!$F$284:$Z$284,0)),0)</f>
        <v>0</v>
      </c>
      <c r="Y23" s="151">
        <f ca="1">+IFERROR(INDEX('Phase III Pro Forma'!$F$380:$Z$380,1,MATCH('Cash Flow Roll-up'!Y$2,'Phase III Pro Forma'!$F$284:$Z$284,0)),0)</f>
        <v>0</v>
      </c>
      <c r="Z23" s="151">
        <f ca="1">+IFERROR(INDEX('Phase III Pro Forma'!$F$380:$Z$380,1,MATCH('Cash Flow Roll-up'!Z$2,'Phase III Pro Forma'!$F$284:$Z$284,0)),0)</f>
        <v>0</v>
      </c>
    </row>
    <row r="24" spans="2:26" x14ac:dyDescent="0.35">
      <c r="B24" s="166" t="s">
        <v>659</v>
      </c>
      <c r="C24" s="166"/>
      <c r="D24" s="166"/>
      <c r="E24" s="166"/>
      <c r="F24" s="167">
        <f t="shared" ref="F24:Z24" ca="1" si="4">+SUM(F21:F23)</f>
        <v>-40681674.722024679</v>
      </c>
      <c r="G24" s="167">
        <f t="shared" ca="1" si="4"/>
        <v>-124134461.68640523</v>
      </c>
      <c r="H24" s="167">
        <f t="shared" ca="1" si="4"/>
        <v>-67956828.70333904</v>
      </c>
      <c r="I24" s="167">
        <f t="shared" ca="1" si="4"/>
        <v>-62918900.895776346</v>
      </c>
      <c r="J24" s="167">
        <f t="shared" ca="1" si="4"/>
        <v>-52440672.476765946</v>
      </c>
      <c r="K24" s="167">
        <f t="shared" ca="1" si="4"/>
        <v>-93333440.45309779</v>
      </c>
      <c r="L24" s="167">
        <f t="shared" ca="1" si="4"/>
        <v>-158155534.24635953</v>
      </c>
      <c r="M24" s="167">
        <f t="shared" ca="1" si="4"/>
        <v>47841911.996310323</v>
      </c>
      <c r="N24" s="167">
        <f t="shared" ca="1" si="4"/>
        <v>60588126.196084224</v>
      </c>
      <c r="O24" s="167">
        <f t="shared" ca="1" si="4"/>
        <v>61360720.275272086</v>
      </c>
      <c r="P24" s="167">
        <f t="shared" ca="1" si="4"/>
        <v>1164873341.0649011</v>
      </c>
      <c r="Q24" s="167">
        <f t="shared" ca="1" si="4"/>
        <v>0</v>
      </c>
      <c r="R24" s="167">
        <f t="shared" ca="1" si="4"/>
        <v>0</v>
      </c>
      <c r="S24" s="167">
        <f t="shared" ca="1" si="4"/>
        <v>0</v>
      </c>
      <c r="T24" s="167">
        <f t="shared" ca="1" si="4"/>
        <v>0</v>
      </c>
      <c r="U24" s="167">
        <f t="shared" ca="1" si="4"/>
        <v>0</v>
      </c>
      <c r="V24" s="167">
        <f t="shared" ca="1" si="4"/>
        <v>0</v>
      </c>
      <c r="W24" s="167">
        <f t="shared" ca="1" si="4"/>
        <v>0</v>
      </c>
      <c r="X24" s="167">
        <f t="shared" ca="1" si="4"/>
        <v>0</v>
      </c>
      <c r="Y24" s="167">
        <f t="shared" ca="1" si="4"/>
        <v>0</v>
      </c>
      <c r="Z24" s="167">
        <f t="shared" ca="1" si="4"/>
        <v>0</v>
      </c>
    </row>
    <row r="26" spans="2:26" x14ac:dyDescent="0.35">
      <c r="B26" s="190" t="s">
        <v>657</v>
      </c>
      <c r="C26" s="190"/>
      <c r="D26" s="191">
        <f ca="1">+IRR(F24:Z24)</f>
        <v>0.13023156684115156</v>
      </c>
    </row>
    <row r="27" spans="2:26" x14ac:dyDescent="0.35">
      <c r="B27" s="194" t="s">
        <v>658</v>
      </c>
      <c r="C27" s="193"/>
      <c r="D27" s="228">
        <f ca="1">+D26/(1-Assumptions!$M$192)</f>
        <v>0.16485008460905259</v>
      </c>
    </row>
    <row r="29" spans="2:26" x14ac:dyDescent="0.35">
      <c r="B29" s="148" t="s">
        <v>660</v>
      </c>
    </row>
    <row r="30" spans="2:26" x14ac:dyDescent="0.35">
      <c r="B30" s="33" t="s">
        <v>21</v>
      </c>
      <c r="D30" s="48">
        <f ca="1">+SUM(F30:Z30)</f>
        <v>226354723.96349359</v>
      </c>
      <c r="F30" s="34">
        <f ca="1">+IFERROR(INDEX('Phase I Pro Forma'!$F$420:$Z$420,1,MATCH('Cash Flow Roll-up'!F$2,'Phase I Pro Forma'!$F$284:$Z$284,0)),0)</f>
        <v>-40681674.722024679</v>
      </c>
      <c r="G30" s="34">
        <f ca="1">+IFERROR(INDEX('Phase I Pro Forma'!$F$420:$Z$420,1,MATCH('Cash Flow Roll-up'!G$2,'Phase I Pro Forma'!$F$284:$Z$284,0)),0)</f>
        <v>-10003944.708597735</v>
      </c>
      <c r="H30" s="34">
        <f ca="1">+IFERROR(INDEX('Phase I Pro Forma'!$F$420:$Z$420,1,MATCH('Cash Flow Roll-up'!H$2,'Phase I Pro Forma'!$F$284:$Z$284,0)),0)</f>
        <v>0</v>
      </c>
      <c r="I30" s="34">
        <f ca="1">+IFERROR(INDEX('Phase I Pro Forma'!$F$420:$Z$420,1,MATCH('Cash Flow Roll-up'!I$2,'Phase I Pro Forma'!$F$284:$Z$284,0)),0)</f>
        <v>26034439.700980678</v>
      </c>
      <c r="J30" s="34">
        <f ca="1">+IFERROR(INDEX('Phase I Pro Forma'!$F$420:$Z$420,1,MATCH('Cash Flow Roll-up'!J$2,'Phase I Pro Forma'!$F$284:$Z$284,0)),0)</f>
        <v>6058956.9749201192</v>
      </c>
      <c r="K30" s="34">
        <f ca="1">+IFERROR(INDEX('Phase I Pro Forma'!$F$420:$Z$420,1,MATCH('Cash Flow Roll-up'!K$2,'Phase I Pro Forma'!$F$284:$Z$284,0)),0)</f>
        <v>6511650.2030417984</v>
      </c>
      <c r="L30" s="34">
        <f ca="1">+IFERROR(INDEX('Phase I Pro Forma'!$F$420:$Z$420,1,MATCH('Cash Flow Roll-up'!L$2,'Phase I Pro Forma'!$F$284:$Z$284,0)),0)</f>
        <v>-3571554.5373850716</v>
      </c>
      <c r="M30" s="34">
        <f ca="1">+IFERROR(INDEX('Phase I Pro Forma'!$F$420:$Z$420,1,MATCH('Cash Flow Roll-up'!M$2,'Phase I Pro Forma'!$F$284:$Z$284,0)),0)</f>
        <v>8098150.6208500275</v>
      </c>
      <c r="N30" s="34">
        <f ca="1">+IFERROR(INDEX('Phase I Pro Forma'!$F$420:$Z$420,1,MATCH('Cash Flow Roll-up'!N$2,'Phase I Pro Forma'!$F$284:$Z$284,0)),0)</f>
        <v>8405995.2286951449</v>
      </c>
      <c r="O30" s="34">
        <f ca="1">+IFERROR(INDEX('Phase I Pro Forma'!$F$420:$Z$420,1,MATCH('Cash Flow Roll-up'!O$2,'Phase I Pro Forma'!$F$284:$Z$284,0)),0)</f>
        <v>8720024.779054299</v>
      </c>
      <c r="P30" s="34">
        <f ca="1">+IFERROR(INDEX('Phase I Pro Forma'!$F$420:$Z$420,1,MATCH('Cash Flow Roll-up'!P$2,'Phase I Pro Forma'!$F$284:$Z$284,0)),0)</f>
        <v>216782680.42395902</v>
      </c>
      <c r="Q30" s="34">
        <f ca="1">+IFERROR(INDEX('Phase I Pro Forma'!$F$420:$Z$420,1,MATCH('Cash Flow Roll-up'!Q$2,'Phase I Pro Forma'!$F$284:$Z$284,0)),0)</f>
        <v>0</v>
      </c>
      <c r="R30" s="34">
        <f ca="1">+IFERROR(INDEX('Phase I Pro Forma'!$F$420:$Z$420,1,MATCH('Cash Flow Roll-up'!R$2,'Phase I Pro Forma'!$F$284:$Z$284,0)),0)</f>
        <v>0</v>
      </c>
      <c r="S30" s="34">
        <f ca="1">+IFERROR(INDEX('Phase I Pro Forma'!$F$420:$Z$420,1,MATCH('Cash Flow Roll-up'!S$2,'Phase I Pro Forma'!$F$284:$Z$284,0)),0)</f>
        <v>0</v>
      </c>
      <c r="T30" s="34">
        <f ca="1">+IFERROR(INDEX('Phase I Pro Forma'!$F$420:$Z$420,1,MATCH('Cash Flow Roll-up'!T$2,'Phase I Pro Forma'!$F$284:$Z$284,0)),0)</f>
        <v>0</v>
      </c>
      <c r="U30" s="34">
        <f ca="1">+IFERROR(INDEX('Phase I Pro Forma'!$F$420:$Z$420,1,MATCH('Cash Flow Roll-up'!U$2,'Phase I Pro Forma'!$F$284:$Z$284,0)),0)</f>
        <v>0</v>
      </c>
      <c r="V30" s="34">
        <f ca="1">+IFERROR(INDEX('Phase I Pro Forma'!$F$420:$Z$420,1,MATCH('Cash Flow Roll-up'!V$2,'Phase I Pro Forma'!$F$284:$Z$284,0)),0)</f>
        <v>0</v>
      </c>
      <c r="W30" s="34">
        <f ca="1">+IFERROR(INDEX('Phase I Pro Forma'!$F$420:$Z$420,1,MATCH('Cash Flow Roll-up'!W$2,'Phase I Pro Forma'!$F$284:$Z$284,0)),0)</f>
        <v>0</v>
      </c>
      <c r="X30" s="34">
        <f ca="1">+IFERROR(INDEX('Phase I Pro Forma'!$F$420:$Z$420,1,MATCH('Cash Flow Roll-up'!X$2,'Phase I Pro Forma'!$F$284:$Z$284,0)),0)</f>
        <v>0</v>
      </c>
      <c r="Y30" s="34">
        <f ca="1">+IFERROR(INDEX('Phase I Pro Forma'!$F$420:$Z$420,1,MATCH('Cash Flow Roll-up'!Y$2,'Phase I Pro Forma'!$F$284:$Z$284,0)),0)</f>
        <v>0</v>
      </c>
      <c r="Z30" s="34">
        <f ca="1">+IFERROR(INDEX('Phase I Pro Forma'!$F$420:$Z$420,1,MATCH('Cash Flow Roll-up'!Z$2,'Phase I Pro Forma'!$F$284:$Z$284,0)),0)</f>
        <v>0</v>
      </c>
    </row>
    <row r="31" spans="2:26" x14ac:dyDescent="0.35">
      <c r="B31" s="33" t="s">
        <v>381</v>
      </c>
      <c r="D31" s="24">
        <f ca="1">+SUM(F31:Z31)</f>
        <v>90154192.574234322</v>
      </c>
      <c r="F31" s="151">
        <f>+IFERROR(INDEX('Phase II Pro Forma'!$F$420:$Z$420,1,MATCH('Cash Flow Roll-up'!F$2,'Phase II Pro Forma'!$F$284:$Z$284,0)),0)</f>
        <v>0</v>
      </c>
      <c r="G31" s="151">
        <f>+IFERROR(INDEX('Phase II Pro Forma'!$F$420:$Z$420,1,MATCH('Cash Flow Roll-up'!G$2,'Phase II Pro Forma'!$F$284:$Z$284,0)),0)</f>
        <v>0</v>
      </c>
      <c r="H31" s="151">
        <f ca="1">+IFERROR(INDEX('Phase II Pro Forma'!$F$420:$Z$420,1,MATCH('Cash Flow Roll-up'!H$2,'Phase II Pro Forma'!$F$284:$Z$284,0)),0)</f>
        <v>-14906001.537875749</v>
      </c>
      <c r="I31" s="151">
        <f ca="1">+IFERROR(INDEX('Phase II Pro Forma'!$F$420:$Z$420,1,MATCH('Cash Flow Roll-up'!I$2,'Phase II Pro Forma'!$F$284:$Z$284,0)),0)</f>
        <v>-13755255.63722842</v>
      </c>
      <c r="J31" s="151">
        <f ca="1">+IFERROR(INDEX('Phase II Pro Forma'!$F$420:$Z$420,1,MATCH('Cash Flow Roll-up'!J$2,'Phase II Pro Forma'!$F$284:$Z$284,0)),0)</f>
        <v>0</v>
      </c>
      <c r="K31" s="151">
        <f ca="1">+IFERROR(INDEX('Phase II Pro Forma'!$F$420:$Z$420,1,MATCH('Cash Flow Roll-up'!K$2,'Phase II Pro Forma'!$F$284:$Z$284,0)),0)</f>
        <v>19560767.377177574</v>
      </c>
      <c r="L31" s="151">
        <f ca="1">+IFERROR(INDEX('Phase II Pro Forma'!$F$420:$Z$420,1,MATCH('Cash Flow Roll-up'!L$2,'Phase II Pro Forma'!$F$284:$Z$284,0)),0)</f>
        <v>-3022524.1972581651</v>
      </c>
      <c r="M31" s="151">
        <f ca="1">+IFERROR(INDEX('Phase II Pro Forma'!$F$420:$Z$420,1,MATCH('Cash Flow Roll-up'!M$2,'Phase II Pro Forma'!$F$284:$Z$284,0)),0)</f>
        <v>3775945.6593842991</v>
      </c>
      <c r="N31" s="151">
        <f ca="1">+IFERROR(INDEX('Phase II Pro Forma'!$F$420:$Z$420,1,MATCH('Cash Flow Roll-up'!N$2,'Phase II Pro Forma'!$F$284:$Z$284,0)),0)</f>
        <v>4469509.8284838004</v>
      </c>
      <c r="O31" s="151">
        <f ca="1">+IFERROR(INDEX('Phase II Pro Forma'!$F$420:$Z$420,1,MATCH('Cash Flow Roll-up'!O$2,'Phase II Pro Forma'!$F$284:$Z$284,0)),0)</f>
        <v>4635763.2618182646</v>
      </c>
      <c r="P31" s="151">
        <f ca="1">+IFERROR(INDEX('Phase II Pro Forma'!$F$420:$Z$420,1,MATCH('Cash Flow Roll-up'!P$2,'Phase II Pro Forma'!$F$284:$Z$284,0)),0)</f>
        <v>89395987.819732815</v>
      </c>
      <c r="Q31" s="151">
        <f ca="1">+IFERROR(INDEX('Phase II Pro Forma'!$F$420:$Z$420,1,MATCH('Cash Flow Roll-up'!Q$2,'Phase II Pro Forma'!$F$284:$Z$284,0)),0)</f>
        <v>0</v>
      </c>
      <c r="R31" s="151">
        <f ca="1">+IFERROR(INDEX('Phase II Pro Forma'!$F$420:$Z$420,1,MATCH('Cash Flow Roll-up'!R$2,'Phase II Pro Forma'!$F$284:$Z$284,0)),0)</f>
        <v>0</v>
      </c>
      <c r="S31" s="151">
        <f ca="1">+IFERROR(INDEX('Phase II Pro Forma'!$F$420:$Z$420,1,MATCH('Cash Flow Roll-up'!S$2,'Phase II Pro Forma'!$F$284:$Z$284,0)),0)</f>
        <v>0</v>
      </c>
      <c r="T31" s="151">
        <f ca="1">+IFERROR(INDEX('Phase II Pro Forma'!$F$420:$Z$420,1,MATCH('Cash Flow Roll-up'!T$2,'Phase II Pro Forma'!$F$284:$Z$284,0)),0)</f>
        <v>0</v>
      </c>
      <c r="U31" s="151">
        <f ca="1">+IFERROR(INDEX('Phase II Pro Forma'!$F$420:$Z$420,1,MATCH('Cash Flow Roll-up'!U$2,'Phase II Pro Forma'!$F$284:$Z$284,0)),0)</f>
        <v>0</v>
      </c>
      <c r="V31" s="151">
        <f ca="1">+IFERROR(INDEX('Phase II Pro Forma'!$F$420:$Z$420,1,MATCH('Cash Flow Roll-up'!V$2,'Phase II Pro Forma'!$F$284:$Z$284,0)),0)</f>
        <v>0</v>
      </c>
      <c r="W31" s="151">
        <f ca="1">+IFERROR(INDEX('Phase II Pro Forma'!$F$420:$Z$420,1,MATCH('Cash Flow Roll-up'!W$2,'Phase II Pro Forma'!$F$284:$Z$284,0)),0)</f>
        <v>0</v>
      </c>
      <c r="X31" s="151">
        <f ca="1">+IFERROR(INDEX('Phase II Pro Forma'!$F$420:$Z$420,1,MATCH('Cash Flow Roll-up'!X$2,'Phase II Pro Forma'!$F$284:$Z$284,0)),0)</f>
        <v>0</v>
      </c>
      <c r="Y31" s="151">
        <f ca="1">+IFERROR(INDEX('Phase II Pro Forma'!$F$420:$Z$420,1,MATCH('Cash Flow Roll-up'!Y$2,'Phase II Pro Forma'!$F$284:$Z$284,0)),0)</f>
        <v>0</v>
      </c>
      <c r="Z31" s="151">
        <f ca="1">+IFERROR(INDEX('Phase II Pro Forma'!$F$420:$Z$420,1,MATCH('Cash Flow Roll-up'!Z$2,'Phase II Pro Forma'!$F$284:$Z$284,0)),0)</f>
        <v>0</v>
      </c>
    </row>
    <row r="32" spans="2:26" x14ac:dyDescent="0.35">
      <c r="B32" s="33" t="s">
        <v>384</v>
      </c>
      <c r="D32" s="24">
        <f ca="1">+SUM(F32:Z32)</f>
        <v>129083740.52152435</v>
      </c>
      <c r="F32" s="151">
        <f>+IFERROR(INDEX('Phase III Pro Forma'!$F$420:$Z$420,1,MATCH('Cash Flow Roll-up'!F$2,'Phase III Pro Forma'!$F$284:$Z$284,0)),0)</f>
        <v>0</v>
      </c>
      <c r="G32" s="151">
        <f>+IFERROR(INDEX('Phase III Pro Forma'!$F$420:$Z$420,1,MATCH('Cash Flow Roll-up'!G$2,'Phase III Pro Forma'!$F$284:$Z$284,0)),0)</f>
        <v>0</v>
      </c>
      <c r="H32" s="151">
        <f>+IFERROR(INDEX('Phase III Pro Forma'!$F$420:$Z$420,1,MATCH('Cash Flow Roll-up'!H$2,'Phase III Pro Forma'!$F$284:$Z$284,0)),0)</f>
        <v>0</v>
      </c>
      <c r="I32" s="151">
        <f>+IFERROR(INDEX('Phase III Pro Forma'!$F$420:$Z$420,1,MATCH('Cash Flow Roll-up'!I$2,'Phase III Pro Forma'!$F$284:$Z$284,0)),0)</f>
        <v>0</v>
      </c>
      <c r="J32" s="151">
        <f ca="1">+IFERROR(INDEX('Phase III Pro Forma'!$F$420:$Z$420,1,MATCH('Cash Flow Roll-up'!J$2,'Phase III Pro Forma'!$F$284:$Z$284,0)),0)</f>
        <v>-41214311.799794026</v>
      </c>
      <c r="K32" s="151">
        <f ca="1">+IFERROR(INDEX('Phase III Pro Forma'!$F$420:$Z$420,1,MATCH('Cash Flow Roll-up'!K$2,'Phase III Pro Forma'!$F$284:$Z$284,0)),0)</f>
        <v>-19601231.51980722</v>
      </c>
      <c r="L32" s="151">
        <f ca="1">+IFERROR(INDEX('Phase III Pro Forma'!$F$420:$Z$420,1,MATCH('Cash Flow Roll-up'!L$2,'Phase III Pro Forma'!$F$284:$Z$284,0)),0)</f>
        <v>-14549541.376461565</v>
      </c>
      <c r="M32" s="151">
        <f ca="1">+IFERROR(INDEX('Phase III Pro Forma'!$F$420:$Z$420,1,MATCH('Cash Flow Roll-up'!M$2,'Phase III Pro Forma'!$F$284:$Z$284,0)),0)</f>
        <v>37745492.292180523</v>
      </c>
      <c r="N32" s="151">
        <f ca="1">+IFERROR(INDEX('Phase III Pro Forma'!$F$420:$Z$420,1,MATCH('Cash Flow Roll-up'!N$2,'Phase III Pro Forma'!$F$284:$Z$284,0)),0)</f>
        <v>4818508.5738076959</v>
      </c>
      <c r="O32" s="151">
        <f ca="1">+IFERROR(INDEX('Phase III Pro Forma'!$F$420:$Z$420,1,MATCH('Cash Flow Roll-up'!O$2,'Phase III Pro Forma'!$F$284:$Z$284,0)),0)</f>
        <v>5001894.7034816705</v>
      </c>
      <c r="P32" s="151">
        <f ca="1">+IFERROR(INDEX('Phase III Pro Forma'!$F$420:$Z$420,1,MATCH('Cash Flow Roll-up'!P$2,'Phase III Pro Forma'!$F$284:$Z$284,0)),0)</f>
        <v>156882929.64811751</v>
      </c>
      <c r="Q32" s="151">
        <f ca="1">+IFERROR(INDEX('Phase III Pro Forma'!$F$420:$Z$420,1,MATCH('Cash Flow Roll-up'!Q$2,'Phase III Pro Forma'!$F$284:$Z$284,0)),0)</f>
        <v>0</v>
      </c>
      <c r="R32" s="151">
        <f ca="1">+IFERROR(INDEX('Phase III Pro Forma'!$F$420:$Z$420,1,MATCH('Cash Flow Roll-up'!R$2,'Phase III Pro Forma'!$F$284:$Z$284,0)),0)</f>
        <v>0</v>
      </c>
      <c r="S32" s="151">
        <f ca="1">+IFERROR(INDEX('Phase III Pro Forma'!$F$420:$Z$420,1,MATCH('Cash Flow Roll-up'!S$2,'Phase III Pro Forma'!$F$284:$Z$284,0)),0)</f>
        <v>0</v>
      </c>
      <c r="T32" s="151">
        <f ca="1">+IFERROR(INDEX('Phase III Pro Forma'!$F$420:$Z$420,1,MATCH('Cash Flow Roll-up'!T$2,'Phase III Pro Forma'!$F$284:$Z$284,0)),0)</f>
        <v>0</v>
      </c>
      <c r="U32" s="151">
        <f ca="1">+IFERROR(INDEX('Phase III Pro Forma'!$F$420:$Z$420,1,MATCH('Cash Flow Roll-up'!U$2,'Phase III Pro Forma'!$F$284:$Z$284,0)),0)</f>
        <v>0</v>
      </c>
      <c r="V32" s="151">
        <f ca="1">+IFERROR(INDEX('Phase III Pro Forma'!$F$420:$Z$420,1,MATCH('Cash Flow Roll-up'!V$2,'Phase III Pro Forma'!$F$284:$Z$284,0)),0)</f>
        <v>0</v>
      </c>
      <c r="W32" s="151">
        <f ca="1">+IFERROR(INDEX('Phase III Pro Forma'!$F$420:$Z$420,1,MATCH('Cash Flow Roll-up'!W$2,'Phase III Pro Forma'!$F$284:$Z$284,0)),0)</f>
        <v>0</v>
      </c>
      <c r="X32" s="151">
        <f ca="1">+IFERROR(INDEX('Phase III Pro Forma'!$F$420:$Z$420,1,MATCH('Cash Flow Roll-up'!X$2,'Phase III Pro Forma'!$F$284:$Z$284,0)),0)</f>
        <v>0</v>
      </c>
      <c r="Y32" s="151">
        <f ca="1">+IFERROR(INDEX('Phase III Pro Forma'!$F$420:$Z$420,1,MATCH('Cash Flow Roll-up'!Y$2,'Phase III Pro Forma'!$F$284:$Z$284,0)),0)</f>
        <v>0</v>
      </c>
      <c r="Z32" s="151">
        <f ca="1">+IFERROR(INDEX('Phase III Pro Forma'!$F$420:$Z$420,1,MATCH('Cash Flow Roll-up'!Z$2,'Phase III Pro Forma'!$F$284:$Z$284,0)),0)</f>
        <v>0</v>
      </c>
    </row>
    <row r="33" spans="2:26" x14ac:dyDescent="0.35">
      <c r="B33" s="166" t="s">
        <v>659</v>
      </c>
      <c r="C33" s="166"/>
      <c r="D33" s="166"/>
      <c r="E33" s="166"/>
      <c r="F33" s="167">
        <f t="shared" ref="F33:Z33" ca="1" si="5">+SUM(F30:F32)</f>
        <v>-40681674.722024679</v>
      </c>
      <c r="G33" s="167">
        <f t="shared" ca="1" si="5"/>
        <v>-10003944.708597735</v>
      </c>
      <c r="H33" s="167">
        <f t="shared" ca="1" si="5"/>
        <v>-14906001.537875749</v>
      </c>
      <c r="I33" s="167">
        <f t="shared" ca="1" si="5"/>
        <v>12279184.063752258</v>
      </c>
      <c r="J33" s="167">
        <f t="shared" ca="1" si="5"/>
        <v>-35155354.824873909</v>
      </c>
      <c r="K33" s="167">
        <f t="shared" ca="1" si="5"/>
        <v>6471186.0604121536</v>
      </c>
      <c r="L33" s="167">
        <f t="shared" ca="1" si="5"/>
        <v>-21143620.111104801</v>
      </c>
      <c r="M33" s="167">
        <f t="shared" ca="1" si="5"/>
        <v>49619588.572414845</v>
      </c>
      <c r="N33" s="167">
        <f t="shared" ca="1" si="5"/>
        <v>17694013.630986638</v>
      </c>
      <c r="O33" s="167">
        <f t="shared" ca="1" si="5"/>
        <v>18357682.744354233</v>
      </c>
      <c r="P33" s="167">
        <f t="shared" ca="1" si="5"/>
        <v>463061597.89180934</v>
      </c>
      <c r="Q33" s="167">
        <f t="shared" ca="1" si="5"/>
        <v>0</v>
      </c>
      <c r="R33" s="167">
        <f t="shared" ca="1" si="5"/>
        <v>0</v>
      </c>
      <c r="S33" s="167">
        <f t="shared" ca="1" si="5"/>
        <v>0</v>
      </c>
      <c r="T33" s="167">
        <f t="shared" ca="1" si="5"/>
        <v>0</v>
      </c>
      <c r="U33" s="167">
        <f t="shared" ca="1" si="5"/>
        <v>0</v>
      </c>
      <c r="V33" s="167">
        <f t="shared" ca="1" si="5"/>
        <v>0</v>
      </c>
      <c r="W33" s="167">
        <f t="shared" ca="1" si="5"/>
        <v>0</v>
      </c>
      <c r="X33" s="167">
        <f t="shared" ca="1" si="5"/>
        <v>0</v>
      </c>
      <c r="Y33" s="167">
        <f t="shared" ca="1" si="5"/>
        <v>0</v>
      </c>
      <c r="Z33" s="167">
        <f t="shared" ca="1" si="5"/>
        <v>0</v>
      </c>
    </row>
    <row r="35" spans="2:26" x14ac:dyDescent="0.35">
      <c r="B35" s="190" t="s">
        <v>657</v>
      </c>
      <c r="C35" s="190"/>
      <c r="D35" s="191">
        <f ca="1">+IRR(F33:Z33)</f>
        <v>0.24047486303244914</v>
      </c>
    </row>
    <row r="36" spans="2:26" x14ac:dyDescent="0.35">
      <c r="B36" s="194" t="s">
        <v>658</v>
      </c>
      <c r="C36" s="193"/>
      <c r="D36" s="228">
        <f ca="1">+D35/(1-Assumptions!$M$192)</f>
        <v>0.30439856080056854</v>
      </c>
    </row>
    <row r="38" spans="2:26" x14ac:dyDescent="0.35">
      <c r="B38" s="148" t="s">
        <v>686</v>
      </c>
    </row>
    <row r="39" spans="2:26" x14ac:dyDescent="0.35">
      <c r="B39" s="560" t="s">
        <v>693</v>
      </c>
      <c r="C39" s="560"/>
      <c r="D39" s="560"/>
      <c r="E39" s="560"/>
      <c r="F39" s="561">
        <f ca="1">+IF(F3&lt;0,F3,0)</f>
        <v>-51495790.787373006</v>
      </c>
      <c r="G39" s="561">
        <f t="shared" ref="G39:Z39" ca="1" si="6">+IF(G3&lt;0,G3,0)</f>
        <v>-12663221.150123715</v>
      </c>
      <c r="H39" s="561">
        <f t="shared" ca="1" si="6"/>
        <v>0</v>
      </c>
      <c r="I39" s="561">
        <f t="shared" ca="1" si="6"/>
        <v>0</v>
      </c>
      <c r="J39" s="561">
        <f t="shared" ca="1" si="6"/>
        <v>0</v>
      </c>
      <c r="K39" s="561">
        <f t="shared" ca="1" si="6"/>
        <v>0</v>
      </c>
      <c r="L39" s="561">
        <f t="shared" ca="1" si="6"/>
        <v>0</v>
      </c>
      <c r="M39" s="561">
        <f t="shared" ca="1" si="6"/>
        <v>0</v>
      </c>
      <c r="N39" s="561">
        <f t="shared" ca="1" si="6"/>
        <v>0</v>
      </c>
      <c r="O39" s="561">
        <f t="shared" ca="1" si="6"/>
        <v>0</v>
      </c>
      <c r="P39" s="561">
        <f t="shared" ca="1" si="6"/>
        <v>0</v>
      </c>
      <c r="Q39" s="561">
        <f t="shared" ca="1" si="6"/>
        <v>0</v>
      </c>
      <c r="R39" s="561">
        <f t="shared" ca="1" si="6"/>
        <v>0</v>
      </c>
      <c r="S39" s="561">
        <f t="shared" ca="1" si="6"/>
        <v>0</v>
      </c>
      <c r="T39" s="561">
        <f t="shared" ca="1" si="6"/>
        <v>0</v>
      </c>
      <c r="U39" s="561">
        <f t="shared" ca="1" si="6"/>
        <v>0</v>
      </c>
      <c r="V39" s="561">
        <f t="shared" ca="1" si="6"/>
        <v>0</v>
      </c>
      <c r="W39" s="561">
        <f t="shared" ca="1" si="6"/>
        <v>0</v>
      </c>
      <c r="X39" s="561">
        <f t="shared" ca="1" si="6"/>
        <v>0</v>
      </c>
      <c r="Y39" s="561">
        <f t="shared" ca="1" si="6"/>
        <v>0</v>
      </c>
      <c r="Z39" s="561">
        <f t="shared" ca="1" si="6"/>
        <v>0</v>
      </c>
    </row>
    <row r="40" spans="2:26" x14ac:dyDescent="0.35">
      <c r="B40" s="558" t="s">
        <v>694</v>
      </c>
      <c r="C40" s="558"/>
      <c r="D40" s="558"/>
      <c r="E40" s="558"/>
      <c r="F40" s="559">
        <f ca="1">+IF(F3&gt;0,MIN(F3,-SUM($F$39:$Z$39)-SUM($E40:E$40)),0)</f>
        <v>0</v>
      </c>
      <c r="G40" s="559">
        <f ca="1">+IF(G3&gt;0,MIN(G3,-SUM($F$39:$Z$39)-SUM($E40:F$40)),0)</f>
        <v>0</v>
      </c>
      <c r="H40" s="559">
        <f ca="1">+IF(H3&gt;0,MIN(H3,-SUM($F$39:$Z$39)-SUM($E40:G$40)),0)</f>
        <v>0</v>
      </c>
      <c r="I40" s="559">
        <f ca="1">+IF(I3&gt;0,MIN(I3,-SUM($F$39:$Z$39)-SUM($E40:H$40)),0)</f>
        <v>24901299.124564815</v>
      </c>
      <c r="J40" s="559">
        <f ca="1">+IF(J3&gt;0,MIN(J3,-SUM($F$39:$Z$39)-SUM($E40:I$40)),0)</f>
        <v>5278132.2857078519</v>
      </c>
      <c r="K40" s="559">
        <f ca="1">+IF(K3&gt;0,MIN(K3,-SUM($F$39:$Z$39)-SUM($E40:J$40)),0)</f>
        <v>5896598.6043395866</v>
      </c>
      <c r="L40" s="559">
        <f ca="1">+IF(L3&gt;0,MIN(L3,-SUM($F$39:$Z$39)-SUM($E40:K$40)),0)</f>
        <v>7678126.75579214</v>
      </c>
      <c r="M40" s="559">
        <f ca="1">+IF(M3&gt;0,MIN(M3,-SUM($F$39:$Z$39)-SUM($E40:L$40)),0)</f>
        <v>8004752.9827835169</v>
      </c>
      <c r="N40" s="559">
        <f ca="1">+IF(N3&gt;0,MIN(N3,-SUM($F$39:$Z$39)-SUM($E40:M$40)),0)</f>
        <v>8449315.2071530111</v>
      </c>
      <c r="O40" s="559">
        <f ca="1">+IF(O3&gt;0,MIN(O3,-SUM($F$39:$Z$39)-SUM($E40:N$40)),0)</f>
        <v>3950786.9771558046</v>
      </c>
      <c r="P40" s="559">
        <f ca="1">+IF(P3&gt;0,MIN(P3,-SUM($F$39:$Z$39)-SUM($E40:O$40)),0)</f>
        <v>0</v>
      </c>
      <c r="Q40" s="559">
        <f ca="1">+IF(Q3&gt;0,MIN(Q3,-SUM($F$39:$Z$39)-SUM($E40:P$40)),0)</f>
        <v>0</v>
      </c>
      <c r="R40" s="559">
        <f ca="1">+IF(R3&gt;0,MIN(R3,-SUM($F$39:$Z$39)-SUM($E40:Q$40)),0)</f>
        <v>0</v>
      </c>
      <c r="S40" s="559">
        <f ca="1">+IF(S3&gt;0,MIN(S3,-SUM($F$39:$Z$39)-SUM($E40:R$40)),0)</f>
        <v>0</v>
      </c>
      <c r="T40" s="559">
        <f ca="1">+IF(T3&gt;0,MIN(T3,-SUM($F$39:$Z$39)-SUM($E40:S$40)),0)</f>
        <v>0</v>
      </c>
      <c r="U40" s="559">
        <f ca="1">+IF(U3&gt;0,MIN(U3,-SUM($F$39:$Z$39)-SUM($E40:T$40)),0)</f>
        <v>0</v>
      </c>
      <c r="V40" s="559">
        <f ca="1">+IF(V3&gt;0,MIN(V3,-SUM($F$39:$Z$39)-SUM($E40:U$40)),0)</f>
        <v>0</v>
      </c>
      <c r="W40" s="559">
        <f ca="1">+IF(W3&gt;0,MIN(W3,-SUM($F$39:$Z$39)-SUM($E40:V$40)),0)</f>
        <v>0</v>
      </c>
      <c r="X40" s="559">
        <f ca="1">+IF(X3&gt;0,MIN(X3,-SUM($F$39:$Z$39)-SUM($E40:W$40)),0)</f>
        <v>0</v>
      </c>
      <c r="Y40" s="559">
        <f ca="1">+IF(Y3&gt;0,MIN(Y3,-SUM($F$39:$Z$39)-SUM($E40:X$40)),0)</f>
        <v>0</v>
      </c>
      <c r="Z40" s="559">
        <f ca="1">+IF(Z3&gt;0,MIN(Z3,-SUM($F$39:$Z$39)-SUM($E40:Y$40)),0)</f>
        <v>0</v>
      </c>
    </row>
    <row r="41" spans="2:26" x14ac:dyDescent="0.35">
      <c r="B41" s="560" t="s">
        <v>691</v>
      </c>
      <c r="C41" s="560"/>
      <c r="D41" s="560"/>
      <c r="E41" s="560"/>
      <c r="F41" s="561">
        <f>+IF(F4&lt;0,F4,0)</f>
        <v>0</v>
      </c>
      <c r="G41" s="561">
        <f t="shared" ref="G41:Z41" si="7">+IF(G4&lt;0,G4,0)</f>
        <v>0</v>
      </c>
      <c r="H41" s="561">
        <f t="shared" ca="1" si="7"/>
        <v>-18868356.37705791</v>
      </c>
      <c r="I41" s="561">
        <f t="shared" ca="1" si="7"/>
        <v>-17411715.996491671</v>
      </c>
      <c r="J41" s="561">
        <f t="shared" ca="1" si="7"/>
        <v>0</v>
      </c>
      <c r="K41" s="561">
        <f t="shared" ca="1" si="7"/>
        <v>0</v>
      </c>
      <c r="L41" s="561">
        <f t="shared" ca="1" si="7"/>
        <v>0</v>
      </c>
      <c r="M41" s="561">
        <f t="shared" ca="1" si="7"/>
        <v>0</v>
      </c>
      <c r="N41" s="561">
        <f t="shared" ca="1" si="7"/>
        <v>0</v>
      </c>
      <c r="O41" s="561">
        <f t="shared" ca="1" si="7"/>
        <v>0</v>
      </c>
      <c r="P41" s="561">
        <f t="shared" ca="1" si="7"/>
        <v>0</v>
      </c>
      <c r="Q41" s="561">
        <f t="shared" ca="1" si="7"/>
        <v>0</v>
      </c>
      <c r="R41" s="561">
        <f t="shared" ca="1" si="7"/>
        <v>0</v>
      </c>
      <c r="S41" s="561">
        <f t="shared" ca="1" si="7"/>
        <v>0</v>
      </c>
      <c r="T41" s="561">
        <f t="shared" ca="1" si="7"/>
        <v>0</v>
      </c>
      <c r="U41" s="561">
        <f t="shared" ca="1" si="7"/>
        <v>0</v>
      </c>
      <c r="V41" s="561">
        <f t="shared" ca="1" si="7"/>
        <v>0</v>
      </c>
      <c r="W41" s="561">
        <f t="shared" ca="1" si="7"/>
        <v>0</v>
      </c>
      <c r="X41" s="561">
        <f t="shared" ca="1" si="7"/>
        <v>0</v>
      </c>
      <c r="Y41" s="561">
        <f t="shared" ca="1" si="7"/>
        <v>0</v>
      </c>
      <c r="Z41" s="561">
        <f t="shared" ca="1" si="7"/>
        <v>0</v>
      </c>
    </row>
    <row r="42" spans="2:26" x14ac:dyDescent="0.35">
      <c r="B42" s="558" t="s">
        <v>692</v>
      </c>
      <c r="C42" s="558"/>
      <c r="D42" s="558"/>
      <c r="E42" s="558"/>
      <c r="F42" s="559">
        <f>+IF(F4&gt;0,MIN(F4,-SUM($F$41:$Z$41)-SUM($E42:E$42)),0)</f>
        <v>0</v>
      </c>
      <c r="G42" s="559">
        <f>+IF(G4&gt;0,MIN(G4,-SUM($F$41:$Z$41)-SUM($E42:F$42)),0)</f>
        <v>0</v>
      </c>
      <c r="H42" s="559">
        <f ca="1">+IF(H4&gt;0,MIN(H4,-SUM($F$41:$Z$41)-SUM($E42:G$42)),0)</f>
        <v>0</v>
      </c>
      <c r="I42" s="559">
        <f ca="1">+IF(I4&gt;0,MIN(I4,-SUM($F$41:$Z$41)-SUM($E42:H$42)),0)</f>
        <v>0</v>
      </c>
      <c r="J42" s="559">
        <f ca="1">+IF(J4&gt;0,MIN(J4,-SUM($F$41:$Z$41)-SUM($E42:I$42)),0)</f>
        <v>0</v>
      </c>
      <c r="K42" s="559">
        <f ca="1">+IF(K4&gt;0,MIN(K4,-SUM($F$41:$Z$41)-SUM($E42:J$42)),0)</f>
        <v>18907188.828211531</v>
      </c>
      <c r="L42" s="559">
        <f ca="1">+IF(L4&gt;0,MIN(L4,-SUM($F$41:$Z$41)-SUM($E42:K$42)),0)</f>
        <v>3047194.9531563995</v>
      </c>
      <c r="M42" s="559">
        <f ca="1">+IF(M4&gt;0,MIN(M4,-SUM($F$41:$Z$41)-SUM($E42:L$42)),0)</f>
        <v>3480773.6680041822</v>
      </c>
      <c r="N42" s="559">
        <f ca="1">+IF(N4&gt;0,MIN(N4,-SUM($F$41:$Z$41)-SUM($E42:M$42)),0)</f>
        <v>4385732.7590233814</v>
      </c>
      <c r="O42" s="559">
        <f ca="1">+IF(O4&gt;0,MIN(O4,-SUM($F$41:$Z$41)-SUM($E42:N$42)),0)</f>
        <v>4624966.8406341393</v>
      </c>
      <c r="P42" s="559">
        <f ca="1">+IF(P4&gt;0,MIN(P4,-SUM($F$41:$Z$41)-SUM($E42:O$42)),0)</f>
        <v>1834215.3245199472</v>
      </c>
      <c r="Q42" s="559">
        <f ca="1">+IF(Q4&gt;0,MIN(Q4,-SUM($F$41:$Z$41)-SUM($E42:P$42)),0)</f>
        <v>0</v>
      </c>
      <c r="R42" s="559">
        <f ca="1">+IF(R4&gt;0,MIN(R4,-SUM($F$41:$Z$41)-SUM($E42:Q$42)),0)</f>
        <v>0</v>
      </c>
      <c r="S42" s="559">
        <f ca="1">+IF(S4&gt;0,MIN(S4,-SUM($F$41:$Z$41)-SUM($E42:R$42)),0)</f>
        <v>0</v>
      </c>
      <c r="T42" s="559">
        <f ca="1">+IF(T4&gt;0,MIN(T4,-SUM($F$41:$Z$41)-SUM($E42:S$42)),0)</f>
        <v>0</v>
      </c>
      <c r="U42" s="559">
        <f ca="1">+IF(U4&gt;0,MIN(U4,-SUM($F$41:$Z$41)-SUM($E42:T$42)),0)</f>
        <v>0</v>
      </c>
      <c r="V42" s="559">
        <f ca="1">+IF(V4&gt;0,MIN(V4,-SUM($F$41:$Z$41)-SUM($E42:U$42)),0)</f>
        <v>0</v>
      </c>
      <c r="W42" s="559">
        <f ca="1">+IF(W4&gt;0,MIN(W4,-SUM($F$41:$Z$41)-SUM($E42:V$42)),0)</f>
        <v>0</v>
      </c>
      <c r="X42" s="559">
        <f ca="1">+IF(X4&gt;0,MIN(X4,-SUM($F$41:$Z$41)-SUM($E42:W$42)),0)</f>
        <v>0</v>
      </c>
      <c r="Y42" s="559">
        <f ca="1">+IF(Y4&gt;0,MIN(Y4,-SUM($F$41:$Z$41)-SUM($E42:X$42)),0)</f>
        <v>0</v>
      </c>
      <c r="Z42" s="559">
        <f ca="1">+IF(Z4&gt;0,MIN(Z4,-SUM($F$41:$Z$41)-SUM($E42:Y$42)),0)</f>
        <v>0</v>
      </c>
    </row>
    <row r="43" spans="2:26" x14ac:dyDescent="0.35">
      <c r="B43" s="560" t="s">
        <v>687</v>
      </c>
      <c r="C43" s="560"/>
      <c r="D43" s="560"/>
      <c r="E43" s="560"/>
      <c r="F43" s="561">
        <f>+IF(F5&lt;0,F5,0)</f>
        <v>0</v>
      </c>
      <c r="G43" s="561">
        <f t="shared" ref="G43:Z43" si="8">+IF(G5&lt;0,G5,0)</f>
        <v>0</v>
      </c>
      <c r="H43" s="561">
        <f t="shared" si="8"/>
        <v>0</v>
      </c>
      <c r="I43" s="561">
        <f t="shared" si="8"/>
        <v>0</v>
      </c>
      <c r="J43" s="561">
        <f t="shared" ca="1" si="8"/>
        <v>-52170014.936448134</v>
      </c>
      <c r="K43" s="561">
        <f t="shared" ca="1" si="8"/>
        <v>-24811685.468110405</v>
      </c>
      <c r="L43" s="561">
        <f t="shared" ca="1" si="8"/>
        <v>0</v>
      </c>
      <c r="M43" s="561">
        <f t="shared" ca="1" si="8"/>
        <v>0</v>
      </c>
      <c r="N43" s="561">
        <f t="shared" ca="1" si="8"/>
        <v>0</v>
      </c>
      <c r="O43" s="561">
        <f t="shared" ca="1" si="8"/>
        <v>0</v>
      </c>
      <c r="P43" s="561">
        <f t="shared" ca="1" si="8"/>
        <v>0</v>
      </c>
      <c r="Q43" s="561">
        <f t="shared" ca="1" si="8"/>
        <v>0</v>
      </c>
      <c r="R43" s="561">
        <f t="shared" ca="1" si="8"/>
        <v>0</v>
      </c>
      <c r="S43" s="561">
        <f t="shared" ca="1" si="8"/>
        <v>0</v>
      </c>
      <c r="T43" s="561">
        <f t="shared" ca="1" si="8"/>
        <v>0</v>
      </c>
      <c r="U43" s="561">
        <f t="shared" ca="1" si="8"/>
        <v>0</v>
      </c>
      <c r="V43" s="561">
        <f t="shared" ca="1" si="8"/>
        <v>0</v>
      </c>
      <c r="W43" s="561">
        <f t="shared" ca="1" si="8"/>
        <v>0</v>
      </c>
      <c r="X43" s="561">
        <f t="shared" ca="1" si="8"/>
        <v>0</v>
      </c>
      <c r="Y43" s="561">
        <f t="shared" ca="1" si="8"/>
        <v>0</v>
      </c>
      <c r="Z43" s="561">
        <f t="shared" ca="1" si="8"/>
        <v>0</v>
      </c>
    </row>
    <row r="44" spans="2:26" x14ac:dyDescent="0.35">
      <c r="B44" s="558" t="s">
        <v>688</v>
      </c>
      <c r="C44" s="558"/>
      <c r="D44" s="558"/>
      <c r="E44" s="558"/>
      <c r="F44" s="559">
        <f>+IF(F5&gt;0,MIN(F5,-SUM($F$43:$Z$43)-SUM($E44:E$44)),0)</f>
        <v>0</v>
      </c>
      <c r="G44" s="559">
        <f>+IF(G5&gt;0,MIN(G5,-SUM($F$43:$Z$43)-SUM($E44:F$44)),0)</f>
        <v>0</v>
      </c>
      <c r="H44" s="559">
        <f>+IF(H5&gt;0,MIN(H5,-SUM($F$43:$Z$43)-SUM($E44:G$44)),0)</f>
        <v>0</v>
      </c>
      <c r="I44" s="559">
        <f>+IF(I5&gt;0,MIN(I5,-SUM($F$43:$Z$43)-SUM($E44:H$44)),0)</f>
        <v>0</v>
      </c>
      <c r="J44" s="559">
        <f ca="1">+IF(J5&gt;0,MIN(J5,-SUM($F$43:$Z$43)-SUM($E44:I$44)),0)</f>
        <v>0</v>
      </c>
      <c r="K44" s="559">
        <f ca="1">+IF(K5&gt;0,MIN(K5,-SUM($F$43:$Z$43)-SUM($E44:J$44)),0)</f>
        <v>0</v>
      </c>
      <c r="L44" s="559">
        <f ca="1">+IF(L5&gt;0,MIN(L5,-SUM($F$43:$Z$43)-SUM($E44:K$44)),0)</f>
        <v>0</v>
      </c>
      <c r="M44" s="559">
        <f ca="1">+IF(M5&gt;0,MIN(M5,-SUM($F$43:$Z$43)-SUM($E44:L$44)),0)</f>
        <v>36663039.119011052</v>
      </c>
      <c r="N44" s="559">
        <f ca="1">+IF(N5&gt;0,MIN(N5,-SUM($F$43:$Z$43)-SUM($E44:M$44)),0)</f>
        <v>5163707.0895398315</v>
      </c>
      <c r="O44" s="559">
        <f ca="1">+IF(O5&gt;0,MIN(O5,-SUM($F$43:$Z$43)-SUM($E44:N$44)),0)</f>
        <v>5446481.3733853698</v>
      </c>
      <c r="P44" s="559">
        <f ca="1">+IF(P5&gt;0,MIN(P5,-SUM($F$43:$Z$43)-SUM($E44:O$44)),0)</f>
        <v>29708472.822622284</v>
      </c>
      <c r="Q44" s="559">
        <f ca="1">+IF(Q5&gt;0,MIN(Q5,-SUM($F$43:$Z$43)-SUM($E44:P$44)),0)</f>
        <v>0</v>
      </c>
      <c r="R44" s="559">
        <f ca="1">+IF(R5&gt;0,MIN(R5,-SUM($F$43:$Z$43)-SUM($E44:Q$44)),0)</f>
        <v>0</v>
      </c>
      <c r="S44" s="559">
        <f ca="1">+IF(S5&gt;0,MIN(S5,-SUM($F$43:$Z$43)-SUM($E44:R$44)),0)</f>
        <v>0</v>
      </c>
      <c r="T44" s="559">
        <f ca="1">+IF(T5&gt;0,MIN(T5,-SUM($F$43:$Z$43)-SUM($E44:S$44)),0)</f>
        <v>0</v>
      </c>
      <c r="U44" s="559">
        <f ca="1">+IF(U5&gt;0,MIN(U5,-SUM($F$43:$Z$43)-SUM($E44:T$44)),0)</f>
        <v>0</v>
      </c>
      <c r="V44" s="559">
        <f ca="1">+IF(V5&gt;0,MIN(V5,-SUM($F$43:$Z$43)-SUM($E44:U$44)),0)</f>
        <v>0</v>
      </c>
      <c r="W44" s="559">
        <f ca="1">+IF(W5&gt;0,MIN(W5,-SUM($F$43:$Z$43)-SUM($E44:V$44)),0)</f>
        <v>0</v>
      </c>
      <c r="X44" s="559">
        <f ca="1">+IF(X5&gt;0,MIN(X5,-SUM($F$43:$Z$43)-SUM($E44:W$44)),0)</f>
        <v>0</v>
      </c>
      <c r="Y44" s="559">
        <f ca="1">+IF(Y5&gt;0,MIN(Y5,-SUM($F$43:$Z$43)-SUM($E44:X$44)),0)</f>
        <v>0</v>
      </c>
      <c r="Z44" s="559">
        <f ca="1">+IF(Z5&gt;0,MIN(Z5,-SUM($F$43:$Z$43)-SUM($E44:Y$44)),0)</f>
        <v>0</v>
      </c>
    </row>
    <row r="45" spans="2:26" x14ac:dyDescent="0.35">
      <c r="B45" s="120" t="s">
        <v>689</v>
      </c>
      <c r="C45" s="120"/>
      <c r="D45" s="120"/>
      <c r="E45" s="120"/>
      <c r="F45" s="121">
        <f ca="1">+IF(F6&lt;0,F6,0)</f>
        <v>-51495790.787373006</v>
      </c>
      <c r="G45" s="121">
        <f t="shared" ref="G45:Z45" ca="1" si="9">+IF(G6&lt;0,G6,0)</f>
        <v>-12663221.150123715</v>
      </c>
      <c r="H45" s="121">
        <f t="shared" ca="1" si="9"/>
        <v>-18868356.37705791</v>
      </c>
      <c r="I45" s="121">
        <f t="shared" ca="1" si="9"/>
        <v>0</v>
      </c>
      <c r="J45" s="121">
        <f t="shared" ca="1" si="9"/>
        <v>-46891882.650740281</v>
      </c>
      <c r="K45" s="121">
        <f t="shared" ca="1" si="9"/>
        <v>-7898.0355592891574</v>
      </c>
      <c r="L45" s="121">
        <f t="shared" ca="1" si="9"/>
        <v>0</v>
      </c>
      <c r="M45" s="121">
        <f t="shared" ca="1" si="9"/>
        <v>0</v>
      </c>
      <c r="N45" s="121">
        <f t="shared" ca="1" si="9"/>
        <v>0</v>
      </c>
      <c r="O45" s="121">
        <f t="shared" ca="1" si="9"/>
        <v>0</v>
      </c>
      <c r="P45" s="121">
        <f t="shared" ca="1" si="9"/>
        <v>0</v>
      </c>
      <c r="Q45" s="121">
        <f t="shared" ca="1" si="9"/>
        <v>0</v>
      </c>
      <c r="R45" s="121">
        <f t="shared" ca="1" si="9"/>
        <v>0</v>
      </c>
      <c r="S45" s="121">
        <f t="shared" ca="1" si="9"/>
        <v>0</v>
      </c>
      <c r="T45" s="121">
        <f t="shared" ca="1" si="9"/>
        <v>0</v>
      </c>
      <c r="U45" s="121">
        <f t="shared" ca="1" si="9"/>
        <v>0</v>
      </c>
      <c r="V45" s="121">
        <f t="shared" ca="1" si="9"/>
        <v>0</v>
      </c>
      <c r="W45" s="121">
        <f t="shared" ca="1" si="9"/>
        <v>0</v>
      </c>
      <c r="X45" s="121">
        <f t="shared" ca="1" si="9"/>
        <v>0</v>
      </c>
      <c r="Y45" s="121">
        <f t="shared" ca="1" si="9"/>
        <v>0</v>
      </c>
      <c r="Z45" s="121">
        <f t="shared" ca="1" si="9"/>
        <v>0</v>
      </c>
    </row>
    <row r="46" spans="2:26" x14ac:dyDescent="0.35">
      <c r="B46" s="122" t="s">
        <v>690</v>
      </c>
      <c r="C46" s="122"/>
      <c r="D46" s="122"/>
      <c r="E46" s="122"/>
      <c r="F46" s="563">
        <f ca="1">+IF(F6&gt;0,MIN(F6,-SUM($F$45:$Z$45)-SUM($E$46:E46)),0)</f>
        <v>0</v>
      </c>
      <c r="G46" s="563">
        <f ca="1">+IF(G6&gt;0,MIN(G6,-SUM($F$45:$Z$45)-SUM($E$46:F46)),0)</f>
        <v>0</v>
      </c>
      <c r="H46" s="563">
        <f ca="1">+IF(H6&gt;0,MIN(H6,-SUM($F$45:$Z$45)-SUM($E$46:G46)),0)</f>
        <v>0</v>
      </c>
      <c r="I46" s="563">
        <f ca="1">+IF(I6&gt;0,MIN(I6,-SUM($F$45:$Z$45)-SUM($E$46:H46)),0)</f>
        <v>7489583.1280731447</v>
      </c>
      <c r="J46" s="563">
        <f ca="1">+IF(J6&gt;0,MIN(J6,-SUM($F$45:$Z$45)-SUM($E$46:I46)),0)</f>
        <v>0</v>
      </c>
      <c r="K46" s="563">
        <f ca="1">+IF(K6&gt;0,MIN(K6,-SUM($F$45:$Z$45)-SUM($E$46:J46)),0)</f>
        <v>0</v>
      </c>
      <c r="L46" s="563">
        <f ca="1">+IF(L6&gt;0,MIN(L6,-SUM($F$45:$Z$45)-SUM($E$46:K46)),0)</f>
        <v>10725321.70894854</v>
      </c>
      <c r="M46" s="563">
        <f ca="1">+IF(M6&gt;0,MIN(M6,-SUM($F$45:$Z$45)-SUM($E$46:L46)),0)</f>
        <v>48148565.769798756</v>
      </c>
      <c r="N46" s="563">
        <f ca="1">+IF(N6&gt;0,MIN(N6,-SUM($F$45:$Z$45)-SUM($E$46:M46)),0)</f>
        <v>17998755.055716224</v>
      </c>
      <c r="O46" s="563">
        <f ca="1">+IF(O6&gt;0,MIN(O6,-SUM($F$45:$Z$45)-SUM($E$46:N46)),0)</f>
        <v>18976722.244561605</v>
      </c>
      <c r="P46" s="563">
        <f ca="1">+IF(P6&gt;0,MIN(P6,-SUM($F$45:$Z$45)-SUM($E$46:O46)),0)</f>
        <v>26588201.093755931</v>
      </c>
      <c r="Q46" s="563">
        <f ca="1">+IF(Q6&gt;0,MIN(Q6,-SUM($F$45:$Z$45)-SUM($E$46:P46)),0)</f>
        <v>0</v>
      </c>
      <c r="R46" s="563">
        <f ca="1">+IF(R6&gt;0,MIN(R6,-SUM($F$45:$Z$45)-SUM($E$46:Q46)),0)</f>
        <v>0</v>
      </c>
      <c r="S46" s="563">
        <f ca="1">+IF(S6&gt;0,MIN(S6,-SUM($F$45:$Z$45)-SUM($E$46:R46)),0)</f>
        <v>0</v>
      </c>
      <c r="T46" s="563">
        <f ca="1">+IF(T6&gt;0,MIN(T6,-SUM($F$45:$Z$45)-SUM($E$46:S46)),0)</f>
        <v>0</v>
      </c>
      <c r="U46" s="563">
        <f ca="1">+IF(U6&gt;0,MIN(U6,-SUM($F$45:$Z$45)-SUM($E$46:T46)),0)</f>
        <v>0</v>
      </c>
      <c r="V46" s="563">
        <f ca="1">+IF(V6&gt;0,MIN(V6,-SUM($F$45:$Z$45)-SUM($E$46:U46)),0)</f>
        <v>0</v>
      </c>
      <c r="W46" s="563">
        <f ca="1">+IF(W6&gt;0,MIN(W6,-SUM($F$45:$Z$45)-SUM($E$46:V46)),0)</f>
        <v>0</v>
      </c>
      <c r="X46" s="563">
        <f ca="1">+IF(X6&gt;0,MIN(X6,-SUM($F$45:$Z$45)-SUM($E$46:W46)),0)</f>
        <v>0</v>
      </c>
      <c r="Y46" s="563">
        <f ca="1">+IF(Y6&gt;0,MIN(Y6,-SUM($F$45:$Z$45)-SUM($E$46:X46)),0)</f>
        <v>0</v>
      </c>
      <c r="Z46" s="563">
        <f ca="1">+IF(Z6&gt;0,MIN(Z6,-SUM($F$45:$Z$45)-SUM($E$46:Y46)),0)</f>
        <v>0</v>
      </c>
    </row>
    <row r="47" spans="2:26" x14ac:dyDescent="0.35">
      <c r="B47" s="564" t="s">
        <v>695</v>
      </c>
      <c r="C47" s="157"/>
      <c r="D47" s="157"/>
      <c r="E47" s="157"/>
      <c r="F47" s="562">
        <f>+F2</f>
        <v>44196</v>
      </c>
      <c r="G47" s="562">
        <f t="shared" ref="G47:Z47" si="10">+G2</f>
        <v>44561</v>
      </c>
      <c r="H47" s="562">
        <f t="shared" si="10"/>
        <v>44926</v>
      </c>
      <c r="I47" s="562">
        <f t="shared" si="10"/>
        <v>45291</v>
      </c>
      <c r="J47" s="562">
        <f t="shared" si="10"/>
        <v>45657</v>
      </c>
      <c r="K47" s="562">
        <f t="shared" si="10"/>
        <v>46022</v>
      </c>
      <c r="L47" s="562">
        <f t="shared" si="10"/>
        <v>46387</v>
      </c>
      <c r="M47" s="562">
        <f t="shared" si="10"/>
        <v>46752</v>
      </c>
      <c r="N47" s="562">
        <f t="shared" si="10"/>
        <v>47118</v>
      </c>
      <c r="O47" s="562">
        <f t="shared" si="10"/>
        <v>47483</v>
      </c>
      <c r="P47" s="562">
        <f t="shared" si="10"/>
        <v>47848</v>
      </c>
      <c r="Q47" s="562">
        <f t="shared" si="10"/>
        <v>48213</v>
      </c>
      <c r="R47" s="562">
        <f t="shared" si="10"/>
        <v>48579</v>
      </c>
      <c r="S47" s="562">
        <f t="shared" si="10"/>
        <v>48944</v>
      </c>
      <c r="T47" s="562">
        <f t="shared" si="10"/>
        <v>49309</v>
      </c>
      <c r="U47" s="562">
        <f t="shared" si="10"/>
        <v>49674</v>
      </c>
      <c r="V47" s="562">
        <f t="shared" si="10"/>
        <v>50040</v>
      </c>
      <c r="W47" s="562">
        <f t="shared" si="10"/>
        <v>50405</v>
      </c>
      <c r="X47" s="562">
        <f t="shared" si="10"/>
        <v>50770</v>
      </c>
      <c r="Y47" s="562">
        <f t="shared" si="10"/>
        <v>51135</v>
      </c>
      <c r="Z47" s="562">
        <f t="shared" si="10"/>
        <v>51501</v>
      </c>
    </row>
    <row r="48" spans="2:26" x14ac:dyDescent="0.35">
      <c r="B48" s="157" t="s">
        <v>21</v>
      </c>
      <c r="C48" s="157"/>
      <c r="D48" s="157"/>
      <c r="E48" s="157"/>
      <c r="F48" s="342">
        <f ca="1">-SUM($F39:F40)</f>
        <v>51495790.787373006</v>
      </c>
      <c r="G48" s="342">
        <f ca="1">-SUM($F39:G40)</f>
        <v>64159011.937496722</v>
      </c>
      <c r="H48" s="342">
        <f ca="1">-SUM($F39:H40)</f>
        <v>64159011.937496722</v>
      </c>
      <c r="I48" s="342">
        <f ca="1">-SUM($F39:I40)</f>
        <v>39257712.81293191</v>
      </c>
      <c r="J48" s="342">
        <f ca="1">-SUM($F39:J40)</f>
        <v>33979580.527224056</v>
      </c>
      <c r="K48" s="342">
        <f ca="1">-SUM($F39:K40)</f>
        <v>28082981.922884472</v>
      </c>
      <c r="L48" s="342">
        <f ca="1">-SUM($F39:L40)</f>
        <v>20404855.167092331</v>
      </c>
      <c r="M48" s="342">
        <f ca="1">-SUM($F39:M40)</f>
        <v>12400102.184308814</v>
      </c>
      <c r="N48" s="342">
        <f ca="1">-SUM($F39:N40)</f>
        <v>3950786.9771558028</v>
      </c>
      <c r="O48" s="342">
        <f ca="1">-SUM($F39:O40)</f>
        <v>0</v>
      </c>
      <c r="P48" s="342">
        <f ca="1">-SUM($F39:P40)</f>
        <v>-1.862645149230957E-9</v>
      </c>
      <c r="Q48" s="342">
        <f ca="1">-SUM($F39:Q40)</f>
        <v>-1.862645149230957E-9</v>
      </c>
      <c r="R48" s="342">
        <f ca="1">-SUM($F39:R40)</f>
        <v>-1.862645149230957E-9</v>
      </c>
      <c r="S48" s="342">
        <f ca="1">-SUM($F39:S40)</f>
        <v>-1.862645149230957E-9</v>
      </c>
      <c r="T48" s="342">
        <f ca="1">-SUM($F39:T40)</f>
        <v>-1.862645149230957E-9</v>
      </c>
      <c r="U48" s="342">
        <f ca="1">-SUM($F39:U40)</f>
        <v>-1.862645149230957E-9</v>
      </c>
      <c r="V48" s="342">
        <f ca="1">-SUM($F39:V40)</f>
        <v>-1.862645149230957E-9</v>
      </c>
      <c r="W48" s="342">
        <f ca="1">-SUM($F39:W40)</f>
        <v>-1.862645149230957E-9</v>
      </c>
      <c r="X48" s="342">
        <f ca="1">-SUM($F39:X40)</f>
        <v>-1.862645149230957E-9</v>
      </c>
      <c r="Y48" s="342">
        <f ca="1">-SUM($F39:Y40)</f>
        <v>-1.862645149230957E-9</v>
      </c>
      <c r="Z48" s="342">
        <f ca="1">-SUM($F39:Z40)</f>
        <v>-1.862645149230957E-9</v>
      </c>
    </row>
    <row r="49" spans="2:26" x14ac:dyDescent="0.35">
      <c r="B49" s="157" t="s">
        <v>381</v>
      </c>
      <c r="C49" s="157"/>
      <c r="D49" s="157"/>
      <c r="E49" s="157"/>
      <c r="F49" s="342">
        <f>-SUM($F41:F42)</f>
        <v>0</v>
      </c>
      <c r="G49" s="342">
        <f>-SUM($F41:G42)</f>
        <v>0</v>
      </c>
      <c r="H49" s="342">
        <f ca="1">-SUM($F41:H42)</f>
        <v>18868356.37705791</v>
      </c>
      <c r="I49" s="342">
        <f ca="1">-SUM($F41:I42)</f>
        <v>36280072.373549581</v>
      </c>
      <c r="J49" s="342">
        <f ca="1">-SUM($F41:J42)</f>
        <v>36280072.373549581</v>
      </c>
      <c r="K49" s="342">
        <f ca="1">-SUM($F41:K42)</f>
        <v>17372883.54533805</v>
      </c>
      <c r="L49" s="342">
        <f ca="1">-SUM($F41:L42)</f>
        <v>14325688.592181649</v>
      </c>
      <c r="M49" s="342">
        <f ca="1">-SUM($F41:M42)</f>
        <v>10844914.924177468</v>
      </c>
      <c r="N49" s="342">
        <f ca="1">-SUM($F41:N42)</f>
        <v>6459182.1651540864</v>
      </c>
      <c r="O49" s="342">
        <f ca="1">-SUM($F41:O42)</f>
        <v>1834215.3245199472</v>
      </c>
      <c r="P49" s="342">
        <f ca="1">-SUM($F41:P42)</f>
        <v>0</v>
      </c>
      <c r="Q49" s="342">
        <f ca="1">-SUM($F41:Q42)</f>
        <v>0</v>
      </c>
      <c r="R49" s="342">
        <f ca="1">-SUM($F41:R42)</f>
        <v>0</v>
      </c>
      <c r="S49" s="342">
        <f ca="1">-SUM($F41:S42)</f>
        <v>0</v>
      </c>
      <c r="T49" s="342">
        <f ca="1">-SUM($F41:T42)</f>
        <v>0</v>
      </c>
      <c r="U49" s="342">
        <f ca="1">-SUM($F41:U42)</f>
        <v>0</v>
      </c>
      <c r="V49" s="342">
        <f ca="1">-SUM($F41:V42)</f>
        <v>0</v>
      </c>
      <c r="W49" s="342">
        <f ca="1">-SUM($F41:W42)</f>
        <v>0</v>
      </c>
      <c r="X49" s="342">
        <f ca="1">-SUM($F41:X42)</f>
        <v>0</v>
      </c>
      <c r="Y49" s="342">
        <f ca="1">-SUM($F41:Y42)</f>
        <v>0</v>
      </c>
      <c r="Z49" s="342">
        <f ca="1">-SUM($F41:Z42)</f>
        <v>0</v>
      </c>
    </row>
    <row r="50" spans="2:26" x14ac:dyDescent="0.35">
      <c r="B50" s="157" t="s">
        <v>384</v>
      </c>
      <c r="C50" s="157"/>
      <c r="D50" s="157"/>
      <c r="E50" s="157"/>
      <c r="F50" s="342">
        <f>-SUM($F43:F44)</f>
        <v>0</v>
      </c>
      <c r="G50" s="342">
        <f>-SUM($F43:G44)</f>
        <v>0</v>
      </c>
      <c r="H50" s="342">
        <f>-SUM($F43:H44)</f>
        <v>0</v>
      </c>
      <c r="I50" s="342">
        <f>-SUM($F43:I44)</f>
        <v>0</v>
      </c>
      <c r="J50" s="342">
        <f ca="1">-SUM($F43:J44)</f>
        <v>52170014.936448134</v>
      </c>
      <c r="K50" s="342">
        <f ca="1">-SUM($F43:K44)</f>
        <v>76981700.404558539</v>
      </c>
      <c r="L50" s="342">
        <f ca="1">-SUM($F43:L44)</f>
        <v>76981700.404558539</v>
      </c>
      <c r="M50" s="342">
        <f ca="1">-SUM($F43:M44)</f>
        <v>40318661.285547487</v>
      </c>
      <c r="N50" s="342">
        <f ca="1">-SUM($F43:N44)</f>
        <v>35154954.196007654</v>
      </c>
      <c r="O50" s="342">
        <f ca="1">-SUM($F43:O44)</f>
        <v>29708472.822622284</v>
      </c>
      <c r="P50" s="342">
        <f ca="1">-SUM($F43:P44)</f>
        <v>0</v>
      </c>
      <c r="Q50" s="342">
        <f ca="1">-SUM($F43:Q44)</f>
        <v>0</v>
      </c>
      <c r="R50" s="342">
        <f ca="1">-SUM($F43:R44)</f>
        <v>0</v>
      </c>
      <c r="S50" s="342">
        <f ca="1">-SUM($F43:S44)</f>
        <v>0</v>
      </c>
      <c r="T50" s="342">
        <f ca="1">-SUM($F43:T44)</f>
        <v>0</v>
      </c>
      <c r="U50" s="342">
        <f ca="1">-SUM($F43:U44)</f>
        <v>0</v>
      </c>
      <c r="V50" s="342">
        <f ca="1">-SUM($F43:V44)</f>
        <v>0</v>
      </c>
      <c r="W50" s="342">
        <f ca="1">-SUM($F43:W44)</f>
        <v>0</v>
      </c>
      <c r="X50" s="342">
        <f ca="1">-SUM($F43:X44)</f>
        <v>0</v>
      </c>
      <c r="Y50" s="342">
        <f ca="1">-SUM($F43:Y44)</f>
        <v>0</v>
      </c>
      <c r="Z50" s="342">
        <f ca="1">-SUM($F43:Z44)</f>
        <v>0</v>
      </c>
    </row>
    <row r="51" spans="2:26" x14ac:dyDescent="0.35">
      <c r="B51" s="157" t="s">
        <v>685</v>
      </c>
      <c r="C51" s="157"/>
      <c r="D51" s="157"/>
      <c r="E51" s="157"/>
      <c r="F51" s="342">
        <f ca="1">-SUM($F45:F46)</f>
        <v>51495790.787373006</v>
      </c>
      <c r="G51" s="342">
        <f ca="1">-SUM($F45:G46)</f>
        <v>64159011.937496722</v>
      </c>
      <c r="H51" s="342">
        <f ca="1">-SUM($F45:H46)</f>
        <v>83027368.314554632</v>
      </c>
      <c r="I51" s="342">
        <f ca="1">-SUM($F45:I46)</f>
        <v>75537785.186481491</v>
      </c>
      <c r="J51" s="342">
        <f ca="1">-SUM($F45:J46)</f>
        <v>122429667.83722177</v>
      </c>
      <c r="K51" s="342">
        <f ca="1">-SUM($F45:K46)</f>
        <v>122437565.87278105</v>
      </c>
      <c r="L51" s="342">
        <f ca="1">-SUM($F45:L46)</f>
        <v>111712244.16383252</v>
      </c>
      <c r="M51" s="342">
        <f ca="1">-SUM($F45:M46)</f>
        <v>63563678.39403376</v>
      </c>
      <c r="N51" s="342">
        <f ca="1">-SUM($F45:N46)</f>
        <v>45564923.338317536</v>
      </c>
      <c r="O51" s="342">
        <f ca="1">-SUM($F45:O46)</f>
        <v>26588201.093755931</v>
      </c>
      <c r="P51" s="342">
        <f ca="1">-SUM($F45:P46)</f>
        <v>0</v>
      </c>
      <c r="Q51" s="342">
        <f ca="1">-SUM($F45:Q46)</f>
        <v>0</v>
      </c>
      <c r="R51" s="342">
        <f ca="1">-SUM($F45:R46)</f>
        <v>0</v>
      </c>
      <c r="S51" s="342">
        <f ca="1">-SUM($F45:S46)</f>
        <v>0</v>
      </c>
      <c r="T51" s="342">
        <f ca="1">-SUM($F45:T46)</f>
        <v>0</v>
      </c>
      <c r="U51" s="342">
        <f ca="1">-SUM($F45:U46)</f>
        <v>0</v>
      </c>
      <c r="V51" s="342">
        <f ca="1">-SUM($F45:V46)</f>
        <v>0</v>
      </c>
      <c r="W51" s="342">
        <f ca="1">-SUM($F45:W46)</f>
        <v>0</v>
      </c>
      <c r="X51" s="342">
        <f ca="1">-SUM($F45:X46)</f>
        <v>0</v>
      </c>
      <c r="Y51" s="342">
        <f ca="1">-SUM($F45:Y46)</f>
        <v>0</v>
      </c>
      <c r="Z51" s="342">
        <f ca="1">-SUM($F45:Z46)</f>
        <v>0</v>
      </c>
    </row>
    <row r="54" spans="2:26" x14ac:dyDescent="0.35">
      <c r="C54" s="41" t="s">
        <v>673</v>
      </c>
      <c r="D54" s="41" t="s">
        <v>674</v>
      </c>
      <c r="E54" s="41" t="s">
        <v>675</v>
      </c>
    </row>
    <row r="55" spans="2:26" x14ac:dyDescent="0.35">
      <c r="B55" s="41" t="s">
        <v>21</v>
      </c>
      <c r="C55" s="116">
        <f ca="1">+'Phase I Pro Forma'!$D$353</f>
        <v>0.11972944419183973</v>
      </c>
      <c r="D55" s="116">
        <f ca="1">+'Phase I Pro Forma'!$D$311</f>
        <v>0.20216207550226173</v>
      </c>
      <c r="E55" s="116">
        <f ca="1">+'Phase I Pro Forma'!$D$423</f>
        <v>0.29690186695228693</v>
      </c>
    </row>
    <row r="56" spans="2:26" x14ac:dyDescent="0.35">
      <c r="B56" s="41" t="s">
        <v>381</v>
      </c>
      <c r="C56" s="116">
        <f ca="1">+'Phase II Pro Forma'!$D$353</f>
        <v>0.13786783674743441</v>
      </c>
      <c r="D56" s="116">
        <f ca="1">+'Phase II Pro Forma'!$D$311</f>
        <v>0.25394836654862751</v>
      </c>
      <c r="E56" s="116">
        <f ca="1">+'Phase II Pro Forma'!$D$423</f>
        <v>0.32970544661755119</v>
      </c>
    </row>
    <row r="57" spans="2:26" x14ac:dyDescent="0.35">
      <c r="B57" s="41" t="s">
        <v>384</v>
      </c>
      <c r="C57" s="116">
        <f ca="1">+'Phase III Pro Forma'!$D$353</f>
        <v>0.14871588484395204</v>
      </c>
      <c r="D57" s="116">
        <f ca="1">+'Phase III Pro Forma'!$D$311</f>
        <v>0.25261779574553245</v>
      </c>
      <c r="E57" s="116">
        <f ca="1">+'Phase III Pro Forma'!$D$423</f>
        <v>0.30491617202346194</v>
      </c>
    </row>
    <row r="58" spans="2:26" x14ac:dyDescent="0.35">
      <c r="B58" s="41" t="s">
        <v>17</v>
      </c>
      <c r="C58" s="116">
        <f ca="1">+D17</f>
        <v>0.13026177012390683</v>
      </c>
      <c r="D58" s="116">
        <f ca="1">+D8</f>
        <v>0.22324328826435935</v>
      </c>
      <c r="E58" s="116">
        <f ca="1">+D36</f>
        <v>0.30439856080056854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B3:AU23"/>
  <sheetViews>
    <sheetView showGridLines="0" zoomScale="55" zoomScaleNormal="55" workbookViewId="0">
      <selection activeCell="K5" sqref="K5"/>
    </sheetView>
  </sheetViews>
  <sheetFormatPr defaultColWidth="14.453125" defaultRowHeight="16" customHeight="1" x14ac:dyDescent="0.35"/>
  <cols>
    <col min="1" max="1" width="8.6328125" style="41" customWidth="1"/>
    <col min="2" max="2" width="17.6328125" style="41" customWidth="1"/>
    <col min="3" max="4" width="8.6328125" style="41" customWidth="1"/>
    <col min="5" max="5" width="18" style="41" customWidth="1"/>
    <col min="6" max="6" width="16.36328125" style="41" customWidth="1"/>
    <col min="7" max="7" width="16.81640625" style="41" bestFit="1" customWidth="1"/>
    <col min="8" max="16384" width="14.453125" style="41"/>
  </cols>
  <sheetData>
    <row r="3" spans="2:47" ht="16" customHeight="1" x14ac:dyDescent="0.35">
      <c r="B3" s="148" t="s">
        <v>637</v>
      </c>
      <c r="F3" s="150"/>
      <c r="G3" s="150">
        <f>+'Cash Flow Roll-up'!F2</f>
        <v>44196</v>
      </c>
      <c r="H3" s="150">
        <f>+EOMONTH(G3,12)</f>
        <v>44561</v>
      </c>
      <c r="I3" s="150">
        <f t="shared" ref="I3:AB3" si="0">+EOMONTH(H3,12)</f>
        <v>44926</v>
      </c>
      <c r="J3" s="150">
        <f t="shared" si="0"/>
        <v>45291</v>
      </c>
      <c r="K3" s="150">
        <f t="shared" si="0"/>
        <v>45657</v>
      </c>
      <c r="L3" s="150">
        <f t="shared" si="0"/>
        <v>46022</v>
      </c>
      <c r="M3" s="150">
        <f t="shared" si="0"/>
        <v>46387</v>
      </c>
      <c r="N3" s="150">
        <f t="shared" si="0"/>
        <v>46752</v>
      </c>
      <c r="O3" s="150">
        <f t="shared" si="0"/>
        <v>47118</v>
      </c>
      <c r="P3" s="150">
        <f t="shared" si="0"/>
        <v>47483</v>
      </c>
      <c r="Q3" s="150">
        <f t="shared" si="0"/>
        <v>47848</v>
      </c>
      <c r="R3" s="150">
        <f t="shared" si="0"/>
        <v>48213</v>
      </c>
      <c r="S3" s="150">
        <f t="shared" si="0"/>
        <v>48579</v>
      </c>
      <c r="T3" s="150">
        <f t="shared" si="0"/>
        <v>48944</v>
      </c>
      <c r="U3" s="150">
        <f t="shared" si="0"/>
        <v>49309</v>
      </c>
      <c r="V3" s="150">
        <f t="shared" si="0"/>
        <v>49674</v>
      </c>
      <c r="W3" s="150">
        <f t="shared" si="0"/>
        <v>50040</v>
      </c>
      <c r="X3" s="150">
        <f t="shared" si="0"/>
        <v>50405</v>
      </c>
      <c r="Y3" s="150">
        <f t="shared" si="0"/>
        <v>50770</v>
      </c>
      <c r="Z3" s="150">
        <f t="shared" si="0"/>
        <v>51135</v>
      </c>
      <c r="AA3" s="150">
        <f t="shared" si="0"/>
        <v>51501</v>
      </c>
      <c r="AB3" s="150">
        <f t="shared" si="0"/>
        <v>51866</v>
      </c>
      <c r="AC3" s="150">
        <f t="shared" ref="AC3" si="1">+EOMONTH(AB3,12)</f>
        <v>52231</v>
      </c>
      <c r="AD3" s="150">
        <f t="shared" ref="AD3" si="2">+EOMONTH(AC3,12)</f>
        <v>52596</v>
      </c>
      <c r="AE3" s="150">
        <f t="shared" ref="AE3" si="3">+EOMONTH(AD3,12)</f>
        <v>52962</v>
      </c>
      <c r="AF3" s="150">
        <f t="shared" ref="AF3" si="4">+EOMONTH(AE3,12)</f>
        <v>53327</v>
      </c>
      <c r="AG3" s="150">
        <f t="shared" ref="AG3" si="5">+EOMONTH(AF3,12)</f>
        <v>53692</v>
      </c>
      <c r="AH3" s="150">
        <f t="shared" ref="AH3" si="6">+EOMONTH(AG3,12)</f>
        <v>54057</v>
      </c>
      <c r="AI3" s="150">
        <f t="shared" ref="AI3" si="7">+EOMONTH(AH3,12)</f>
        <v>54423</v>
      </c>
      <c r="AJ3" s="150">
        <f t="shared" ref="AJ3" si="8">+EOMONTH(AI3,12)</f>
        <v>54788</v>
      </c>
      <c r="AK3" s="150">
        <f t="shared" ref="AK3" si="9">+EOMONTH(AJ3,12)</f>
        <v>55153</v>
      </c>
      <c r="AL3" s="150">
        <f t="shared" ref="AL3" si="10">+EOMONTH(AK3,12)</f>
        <v>55518</v>
      </c>
      <c r="AM3" s="150">
        <f t="shared" ref="AM3" si="11">+EOMONTH(AL3,12)</f>
        <v>55884</v>
      </c>
      <c r="AN3" s="150">
        <f t="shared" ref="AN3" si="12">+EOMONTH(AM3,12)</f>
        <v>56249</v>
      </c>
      <c r="AO3" s="150">
        <f t="shared" ref="AO3" si="13">+EOMONTH(AN3,12)</f>
        <v>56614</v>
      </c>
      <c r="AP3" s="150">
        <f t="shared" ref="AP3" si="14">+EOMONTH(AO3,12)</f>
        <v>56979</v>
      </c>
      <c r="AQ3" s="150">
        <f t="shared" ref="AQ3" si="15">+EOMONTH(AP3,12)</f>
        <v>57345</v>
      </c>
      <c r="AR3" s="150">
        <f t="shared" ref="AR3" si="16">+EOMONTH(AQ3,12)</f>
        <v>57710</v>
      </c>
      <c r="AS3" s="150">
        <f t="shared" ref="AS3" si="17">+EOMONTH(AR3,12)</f>
        <v>58075</v>
      </c>
      <c r="AT3" s="150">
        <f t="shared" ref="AT3" si="18">+EOMONTH(AS3,12)</f>
        <v>58440</v>
      </c>
      <c r="AU3" s="150">
        <f t="shared" ref="AU3" si="19">+EOMONTH(AT3,12)</f>
        <v>58806</v>
      </c>
    </row>
    <row r="4" spans="2:47" ht="16" customHeight="1" x14ac:dyDescent="0.35">
      <c r="B4" s="33" t="s">
        <v>676</v>
      </c>
      <c r="D4" s="48"/>
      <c r="F4" s="34">
        <f t="shared" ref="F4:F9" si="20">+NPV($E$11,G4:AU4)</f>
        <v>16600823.36989807</v>
      </c>
      <c r="G4" s="151">
        <f>+SUMIF(Assumptions!$F$22:$H$22,'Public Benefits'!G$3,Infra!$G$6:$I$6)+SUMIF(Assumptions!$F$24:$H$24,'Public Benefits'!G$3,Infra!$G$7:$I$7)</f>
        <v>8700000</v>
      </c>
      <c r="H4" s="151">
        <f>+SUMIF(Assumptions!$F$22:$H$22,'Public Benefits'!H$3,Infra!$G$6:$I$6)+SUMIF(Assumptions!$F$24:$H$24,'Public Benefits'!H$3,Infra!$G$7:$I$7)</f>
        <v>292500</v>
      </c>
      <c r="I4" s="151">
        <f>+SUMIF(Assumptions!$F$22:$H$22,'Public Benefits'!I$3,Infra!$G$6:$I$6)+SUMIF(Assumptions!$F$24:$H$24,'Public Benefits'!I$3,Infra!$G$7:$I$7)</f>
        <v>8010000</v>
      </c>
      <c r="J4" s="151">
        <f>+SUMIF(Assumptions!$F$22:$H$22,'Public Benefits'!J$3,Infra!$G$6:$I$6)+SUMIF(Assumptions!$F$24:$H$24,'Public Benefits'!J$3,Infra!$G$7:$I$7)</f>
        <v>337500</v>
      </c>
      <c r="K4" s="151">
        <f>+SUMIF(Assumptions!$F$22:$H$22,'Public Benefits'!K$3,Infra!$G$6:$I$6)+SUMIF(Assumptions!$F$24:$H$24,'Public Benefits'!K$3,Infra!$G$7:$I$7)</f>
        <v>0</v>
      </c>
      <c r="L4" s="151">
        <f>+SUMIF(Assumptions!$F$22:$H$22,'Public Benefits'!L$3,Infra!$G$6:$I$6)+SUMIF(Assumptions!$F$24:$H$24,'Public Benefits'!L$3,Infra!$G$7:$I$7)</f>
        <v>3900000</v>
      </c>
      <c r="M4" s="151">
        <f>+SUMIF(Assumptions!$F$22:$H$22,'Public Benefits'!M$3,Infra!$G$6:$I$6)+SUMIF(Assumptions!$F$24:$H$24,'Public Benefits'!M$3,Infra!$G$7:$I$7)</f>
        <v>0</v>
      </c>
      <c r="N4" s="151">
        <f>+SUMIF(Assumptions!$F$22:$H$22,'Public Benefits'!N$3,Infra!$G$6:$I$6)+SUMIF(Assumptions!$F$24:$H$24,'Public Benefits'!N$3,Infra!$G$7:$I$7)</f>
        <v>0</v>
      </c>
      <c r="O4" s="151">
        <f>+SUMIF(Assumptions!$F$22:$H$22,'Public Benefits'!O$3,Infra!$G$6:$I$6)+SUMIF(Assumptions!$F$24:$H$24,'Public Benefits'!O$3,Infra!$G$7:$I$7)</f>
        <v>0</v>
      </c>
      <c r="P4" s="151">
        <f>+SUMIF(Assumptions!$F$22:$H$22,'Public Benefits'!P$3,Infra!$G$6:$I$6)+SUMIF(Assumptions!$F$24:$H$24,'Public Benefits'!P$3,Infra!$G$7:$I$7)</f>
        <v>0</v>
      </c>
      <c r="Q4" s="151">
        <f>+SUMIF(Assumptions!$F$22:$H$22,'Public Benefits'!Q$3,Infra!$G$6:$I$6)+SUMIF(Assumptions!$F$24:$H$24,'Public Benefits'!Q$3,Infra!$G$7:$I$7)</f>
        <v>0</v>
      </c>
      <c r="R4" s="151">
        <f>+SUMIF(Assumptions!$F$22:$H$22,'Public Benefits'!R$3,Infra!$G$6:$I$6)+SUMIF(Assumptions!$F$24:$H$24,'Public Benefits'!R$3,Infra!$G$7:$I$7)</f>
        <v>0</v>
      </c>
      <c r="S4" s="151">
        <f>+SUMIF(Assumptions!$F$22:$H$22,'Public Benefits'!S$3,Infra!$G$6:$I$6)+SUMIF(Assumptions!$F$24:$H$24,'Public Benefits'!S$3,Infra!$G$7:$I$7)</f>
        <v>0</v>
      </c>
      <c r="T4" s="151">
        <f>+SUMIF(Assumptions!$F$22:$H$22,'Public Benefits'!T$3,Infra!$G$6:$I$6)+SUMIF(Assumptions!$F$24:$H$24,'Public Benefits'!T$3,Infra!$G$7:$I$7)</f>
        <v>0</v>
      </c>
      <c r="U4" s="151">
        <f>+SUMIF(Assumptions!$F$22:$H$22,'Public Benefits'!U$3,Infra!$G$6:$I$6)+SUMIF(Assumptions!$F$24:$H$24,'Public Benefits'!U$3,Infra!$G$7:$I$7)</f>
        <v>0</v>
      </c>
      <c r="V4" s="151">
        <f>+SUMIF(Assumptions!$F$22:$H$22,'Public Benefits'!V$3,Infra!$G$6:$I$6)+SUMIF(Assumptions!$F$24:$H$24,'Public Benefits'!V$3,Infra!$G$7:$I$7)</f>
        <v>0</v>
      </c>
      <c r="W4" s="151">
        <f>+SUMIF(Assumptions!$F$22:$H$22,'Public Benefits'!W$3,Infra!$G$6:$I$6)+SUMIF(Assumptions!$F$24:$H$24,'Public Benefits'!W$3,Infra!$G$7:$I$7)</f>
        <v>0</v>
      </c>
      <c r="X4" s="151">
        <f>+SUMIF(Assumptions!$F$22:$H$22,'Public Benefits'!X$3,Infra!$G$6:$I$6)+SUMIF(Assumptions!$F$24:$H$24,'Public Benefits'!X$3,Infra!$G$7:$I$7)</f>
        <v>0</v>
      </c>
      <c r="Y4" s="151">
        <f>+SUMIF(Assumptions!$F$22:$H$22,'Public Benefits'!Y$3,Infra!$G$6:$I$6)+SUMIF(Assumptions!$F$24:$H$24,'Public Benefits'!Y$3,Infra!$G$7:$I$7)</f>
        <v>0</v>
      </c>
      <c r="Z4" s="151">
        <f>+SUMIF(Assumptions!$F$22:$H$22,'Public Benefits'!Z$3,Infra!$G$6:$I$6)+SUMIF(Assumptions!$F$24:$H$24,'Public Benefits'!Z$3,Infra!$G$7:$I$7)</f>
        <v>0</v>
      </c>
      <c r="AA4" s="151">
        <f>+SUMIF(Assumptions!$F$22:$H$22,'Public Benefits'!AA$3,Infra!$G$6:$I$6)+SUMIF(Assumptions!$F$24:$H$24,'Public Benefits'!AA$3,Infra!$G$7:$I$7)</f>
        <v>0</v>
      </c>
      <c r="AB4" s="151">
        <f>+SUMIF(Assumptions!$F$22:$H$22,'Public Benefits'!AB$3,Infra!$G$6:$I$6)+SUMIF(Assumptions!$F$24:$H$24,'Public Benefits'!AB$3,Infra!$G$7:$I$7)</f>
        <v>0</v>
      </c>
      <c r="AC4" s="151">
        <f>+SUMIF(Assumptions!$F$22:$H$22,'Public Benefits'!AC$3,Infra!$G$6:$I$6)+SUMIF(Assumptions!$F$24:$H$24,'Public Benefits'!AC$3,Infra!$G$7:$I$7)</f>
        <v>0</v>
      </c>
      <c r="AD4" s="151">
        <f>+SUMIF(Assumptions!$F$22:$H$22,'Public Benefits'!AD$3,Infra!$G$6:$I$6)+SUMIF(Assumptions!$F$24:$H$24,'Public Benefits'!AD$3,Infra!$G$7:$I$7)</f>
        <v>0</v>
      </c>
      <c r="AE4" s="151">
        <f>+SUMIF(Assumptions!$F$22:$H$22,'Public Benefits'!AE$3,Infra!$G$6:$I$6)+SUMIF(Assumptions!$F$24:$H$24,'Public Benefits'!AE$3,Infra!$G$7:$I$7)</f>
        <v>0</v>
      </c>
      <c r="AF4" s="151">
        <f>+SUMIF(Assumptions!$F$22:$H$22,'Public Benefits'!AF$3,Infra!$G$6:$I$6)+SUMIF(Assumptions!$F$24:$H$24,'Public Benefits'!AF$3,Infra!$G$7:$I$7)</f>
        <v>0</v>
      </c>
      <c r="AG4" s="151">
        <f>+SUMIF(Assumptions!$F$22:$H$22,'Public Benefits'!AG$3,Infra!$G$6:$I$6)+SUMIF(Assumptions!$F$24:$H$24,'Public Benefits'!AG$3,Infra!$G$7:$I$7)</f>
        <v>0</v>
      </c>
      <c r="AH4" s="151">
        <f>+SUMIF(Assumptions!$F$22:$H$22,'Public Benefits'!AH$3,Infra!$G$6:$I$6)+SUMIF(Assumptions!$F$24:$H$24,'Public Benefits'!AH$3,Infra!$G$7:$I$7)</f>
        <v>0</v>
      </c>
      <c r="AI4" s="151">
        <f>+SUMIF(Assumptions!$F$22:$H$22,'Public Benefits'!AI$3,Infra!$G$6:$I$6)+SUMIF(Assumptions!$F$24:$H$24,'Public Benefits'!AI$3,Infra!$G$7:$I$7)</f>
        <v>0</v>
      </c>
      <c r="AJ4" s="151">
        <f>+SUMIF(Assumptions!$F$22:$H$22,'Public Benefits'!AJ$3,Infra!$G$6:$I$6)+SUMIF(Assumptions!$F$24:$H$24,'Public Benefits'!AJ$3,Infra!$G$7:$I$7)</f>
        <v>0</v>
      </c>
      <c r="AK4" s="151">
        <f>+SUMIF(Assumptions!$F$22:$H$22,'Public Benefits'!AK$3,Infra!$G$6:$I$6)+SUMIF(Assumptions!$F$24:$H$24,'Public Benefits'!AK$3,Infra!$G$7:$I$7)</f>
        <v>0</v>
      </c>
      <c r="AL4" s="151">
        <f>+SUMIF(Assumptions!$F$22:$H$22,'Public Benefits'!AL$3,Infra!$G$6:$I$6)+SUMIF(Assumptions!$F$24:$H$24,'Public Benefits'!AL$3,Infra!$G$7:$I$7)</f>
        <v>0</v>
      </c>
      <c r="AM4" s="151">
        <f>+SUMIF(Assumptions!$F$22:$H$22,'Public Benefits'!AM$3,Infra!$G$6:$I$6)+SUMIF(Assumptions!$F$24:$H$24,'Public Benefits'!AM$3,Infra!$G$7:$I$7)</f>
        <v>0</v>
      </c>
      <c r="AN4" s="151">
        <f>+SUMIF(Assumptions!$F$22:$H$22,'Public Benefits'!AN$3,Infra!$G$6:$I$6)+SUMIF(Assumptions!$F$24:$H$24,'Public Benefits'!AN$3,Infra!$G$7:$I$7)</f>
        <v>0</v>
      </c>
      <c r="AO4" s="151">
        <f>+SUMIF(Assumptions!$F$22:$H$22,'Public Benefits'!AO$3,Infra!$G$6:$I$6)+SUMIF(Assumptions!$F$24:$H$24,'Public Benefits'!AO$3,Infra!$G$7:$I$7)</f>
        <v>0</v>
      </c>
      <c r="AP4" s="151">
        <f>+SUMIF(Assumptions!$F$22:$H$22,'Public Benefits'!AP$3,Infra!$G$6:$I$6)+SUMIF(Assumptions!$F$24:$H$24,'Public Benefits'!AP$3,Infra!$G$7:$I$7)</f>
        <v>0</v>
      </c>
      <c r="AQ4" s="151">
        <f>+SUMIF(Assumptions!$F$22:$H$22,'Public Benefits'!AQ$3,Infra!$G$6:$I$6)+SUMIF(Assumptions!$F$24:$H$24,'Public Benefits'!AQ$3,Infra!$G$7:$I$7)</f>
        <v>0</v>
      </c>
      <c r="AR4" s="151">
        <f>+SUMIF(Assumptions!$F$22:$H$22,'Public Benefits'!AR$3,Infra!$G$6:$I$6)+SUMIF(Assumptions!$F$24:$H$24,'Public Benefits'!AR$3,Infra!$G$7:$I$7)</f>
        <v>0</v>
      </c>
      <c r="AS4" s="151">
        <f>+SUMIF(Assumptions!$F$22:$H$22,'Public Benefits'!AS$3,Infra!$G$6:$I$6)+SUMIF(Assumptions!$F$24:$H$24,'Public Benefits'!AS$3,Infra!$G$7:$I$7)</f>
        <v>0</v>
      </c>
      <c r="AT4" s="151">
        <f>+SUMIF(Assumptions!$F$22:$H$22,'Public Benefits'!AT$3,Infra!$G$6:$I$6)+SUMIF(Assumptions!$F$24:$H$24,'Public Benefits'!AT$3,Infra!$G$7:$I$7)</f>
        <v>0</v>
      </c>
      <c r="AU4" s="151">
        <f>+SUMIF(Assumptions!$F$22:$H$22,'Public Benefits'!AU$3,Infra!$G$6:$I$6)+SUMIF(Assumptions!$F$24:$H$24,'Public Benefits'!AU$3,Infra!$G$7:$I$7)</f>
        <v>0</v>
      </c>
    </row>
    <row r="5" spans="2:47" ht="16" customHeight="1" x14ac:dyDescent="0.35">
      <c r="B5" s="33" t="s">
        <v>529</v>
      </c>
      <c r="D5" s="24"/>
      <c r="F5" s="34">
        <f t="shared" si="20"/>
        <v>2120002.8030162575</v>
      </c>
      <c r="G5" s="151">
        <f>+IF(G$3=Assumptions!$H$22,Infra!$I$15,0)</f>
        <v>0</v>
      </c>
      <c r="H5" s="151">
        <f>+IF(H$3=Assumptions!$H$22,Infra!$I$15,0)</f>
        <v>0</v>
      </c>
      <c r="I5" s="151">
        <f>+IF(I$3=Assumptions!$H$22,Infra!$I$15,0)</f>
        <v>0</v>
      </c>
      <c r="J5" s="151">
        <f>+IF(J$3=Assumptions!$H$22,Infra!$I$15,0)</f>
        <v>0</v>
      </c>
      <c r="K5" s="151">
        <f>+IF(K$3=Assumptions!$H$22,Infra!$I$15,0)</f>
        <v>3414285.7142857141</v>
      </c>
      <c r="L5" s="151">
        <f>+IF(L$3=Assumptions!$H$22,Infra!$I$15,0)</f>
        <v>0</v>
      </c>
      <c r="M5" s="151">
        <f>+IF(M$3=Assumptions!$H$22,Infra!$I$15,0)</f>
        <v>0</v>
      </c>
      <c r="N5" s="151">
        <f>+IF(N$3=Assumptions!$H$22,Infra!$I$15,0)</f>
        <v>0</v>
      </c>
      <c r="O5" s="151">
        <f>+IF(O$3=Assumptions!$H$22,Infra!$I$15,0)</f>
        <v>0</v>
      </c>
      <c r="P5" s="151">
        <f>+IF(P$3=Assumptions!$H$22,Infra!$I$15,0)</f>
        <v>0</v>
      </c>
      <c r="Q5" s="151">
        <f>+IF(Q$3=Assumptions!$H$22,Infra!$I$15,0)</f>
        <v>0</v>
      </c>
      <c r="R5" s="151">
        <f>+IF(R$3=Assumptions!$H$22,Infra!$I$15,0)</f>
        <v>0</v>
      </c>
      <c r="S5" s="151">
        <f>+IF(S$3=Assumptions!$H$22,Infra!$I$15,0)</f>
        <v>0</v>
      </c>
      <c r="T5" s="151">
        <f>+IF(T$3=Assumptions!$H$22,Infra!$I$15,0)</f>
        <v>0</v>
      </c>
      <c r="U5" s="151">
        <f>+IF(U$3=Assumptions!$H$22,Infra!$I$15,0)</f>
        <v>0</v>
      </c>
      <c r="V5" s="151">
        <f>+IF(V$3=Assumptions!$H$22,Infra!$I$15,0)</f>
        <v>0</v>
      </c>
      <c r="W5" s="151">
        <f>+IF(W$3=Assumptions!$H$22,Infra!$I$15,0)</f>
        <v>0</v>
      </c>
      <c r="X5" s="151">
        <f>+IF(X$3=Assumptions!$H$22,Infra!$I$15,0)</f>
        <v>0</v>
      </c>
      <c r="Y5" s="151">
        <f>+IF(Y$3=Assumptions!$H$22,Infra!$I$15,0)</f>
        <v>0</v>
      </c>
      <c r="Z5" s="151">
        <f>+IF(Z$3=Assumptions!$H$22,Infra!$I$15,0)</f>
        <v>0</v>
      </c>
      <c r="AA5" s="151">
        <f>+IF(AA$3=Assumptions!$H$22,Infra!$I$15,0)</f>
        <v>0</v>
      </c>
      <c r="AB5" s="151">
        <f>+IF(AB$3=Assumptions!$H$22,Infra!$I$15,0)</f>
        <v>0</v>
      </c>
      <c r="AC5" s="151">
        <f>+IF(AC$3=Assumptions!$H$22,Infra!$I$15,0)</f>
        <v>0</v>
      </c>
      <c r="AD5" s="151">
        <f>+IF(AD$3=Assumptions!$H$22,Infra!$I$15,0)</f>
        <v>0</v>
      </c>
      <c r="AE5" s="151">
        <f>+IF(AE$3=Assumptions!$H$22,Infra!$I$15,0)</f>
        <v>0</v>
      </c>
      <c r="AF5" s="151">
        <f>+IF(AF$3=Assumptions!$H$22,Infra!$I$15,0)</f>
        <v>0</v>
      </c>
      <c r="AG5" s="151">
        <f>+IF(AG$3=Assumptions!$H$22,Infra!$I$15,0)</f>
        <v>0</v>
      </c>
      <c r="AH5" s="151">
        <f>+IF(AH$3=Assumptions!$H$22,Infra!$I$15,0)</f>
        <v>0</v>
      </c>
      <c r="AI5" s="151">
        <f>+IF(AI$3=Assumptions!$H$22,Infra!$I$15,0)</f>
        <v>0</v>
      </c>
      <c r="AJ5" s="151">
        <f>+IF(AJ$3=Assumptions!$H$22,Infra!$I$15,0)</f>
        <v>0</v>
      </c>
      <c r="AK5" s="151">
        <f>+IF(AK$3=Assumptions!$H$22,Infra!$I$15,0)</f>
        <v>0</v>
      </c>
      <c r="AL5" s="151">
        <f>+IF(AL$3=Assumptions!$H$22,Infra!$I$15,0)</f>
        <v>0</v>
      </c>
      <c r="AM5" s="151">
        <f>+IF(AM$3=Assumptions!$H$22,Infra!$I$15,0)</f>
        <v>0</v>
      </c>
      <c r="AN5" s="151">
        <f>+IF(AN$3=Assumptions!$H$22,Infra!$I$15,0)</f>
        <v>0</v>
      </c>
      <c r="AO5" s="151">
        <f>+IF(AO$3=Assumptions!$H$22,Infra!$I$15,0)</f>
        <v>0</v>
      </c>
      <c r="AP5" s="151">
        <f>+IF(AP$3=Assumptions!$H$22,Infra!$I$15,0)</f>
        <v>0</v>
      </c>
      <c r="AQ5" s="151">
        <f>+IF(AQ$3=Assumptions!$H$22,Infra!$I$15,0)</f>
        <v>0</v>
      </c>
      <c r="AR5" s="151">
        <f>+IF(AR$3=Assumptions!$H$22,Infra!$I$15,0)</f>
        <v>0</v>
      </c>
      <c r="AS5" s="151">
        <f>+IF(AS$3=Assumptions!$H$22,Infra!$I$15,0)</f>
        <v>0</v>
      </c>
      <c r="AT5" s="151">
        <f>+IF(AT$3=Assumptions!$H$22,Infra!$I$15,0)</f>
        <v>0</v>
      </c>
      <c r="AU5" s="151">
        <f>+IF(AU$3=Assumptions!$H$22,Infra!$I$15,0)</f>
        <v>0</v>
      </c>
    </row>
    <row r="6" spans="2:47" ht="16" customHeight="1" x14ac:dyDescent="0.35">
      <c r="B6" s="33" t="s">
        <v>636</v>
      </c>
      <c r="D6" s="24"/>
      <c r="F6" s="34">
        <f t="shared" si="20"/>
        <v>8181818.1818181807</v>
      </c>
      <c r="G6" s="151">
        <f>+IF(G$3=Assumptions!$F$24,Assumptions!$F$142*Budget!$D$39,0)</f>
        <v>0</v>
      </c>
      <c r="H6" s="151">
        <f>+IF(H$3=Assumptions!$F$24,Assumptions!$F$142*Budget!$D$39,0)</f>
        <v>9900000</v>
      </c>
      <c r="I6" s="151">
        <f>+IF(I$3=Assumptions!$F$24,Assumptions!$F$142*Budget!$D$39,0)</f>
        <v>0</v>
      </c>
      <c r="J6" s="151">
        <f>+IF(J$3=Assumptions!$F$24,Assumptions!$F$142*Budget!$D$39,0)</f>
        <v>0</v>
      </c>
      <c r="K6" s="151">
        <f>+IF(K$3=Assumptions!$F$24,Assumptions!$F$142*Budget!$D$39,0)</f>
        <v>0</v>
      </c>
      <c r="L6" s="151">
        <f>+IF(L$3=Assumptions!$F$24,Assumptions!$F$142*Budget!$D$39,0)</f>
        <v>0</v>
      </c>
      <c r="M6" s="151">
        <f>+IF(M$3=Assumptions!$F$24,Assumptions!$F$142*Budget!$D$39,0)</f>
        <v>0</v>
      </c>
      <c r="N6" s="151">
        <f>+IF(N$3=Assumptions!$F$24,Assumptions!$F$142*Budget!$D$39,0)</f>
        <v>0</v>
      </c>
      <c r="O6" s="151">
        <f>+IF(O$3=Assumptions!$F$24,Assumptions!$F$142*Budget!$D$39,0)</f>
        <v>0</v>
      </c>
      <c r="P6" s="151">
        <f>+IF(P$3=Assumptions!$F$24,Assumptions!$F$142*Budget!$D$39,0)</f>
        <v>0</v>
      </c>
      <c r="Q6" s="151">
        <f>+IF(Q$3=Assumptions!$F$24,Assumptions!$F$142*Budget!$D$39,0)</f>
        <v>0</v>
      </c>
      <c r="R6" s="151">
        <f>+IF(R$3=Assumptions!$F$24,Assumptions!$F$142*Budget!$D$39,0)</f>
        <v>0</v>
      </c>
      <c r="S6" s="151">
        <f>+IF(S$3=Assumptions!$F$24,Assumptions!$F$142*Budget!$D$39,0)</f>
        <v>0</v>
      </c>
      <c r="T6" s="151">
        <f>+IF(T$3=Assumptions!$F$24,Assumptions!$F$142*Budget!$D$39,0)</f>
        <v>0</v>
      </c>
      <c r="U6" s="151">
        <f>+IF(U$3=Assumptions!$F$24,Assumptions!$F$142*Budget!$D$39,0)</f>
        <v>0</v>
      </c>
      <c r="V6" s="151">
        <f>+IF(V$3=Assumptions!$F$24,Assumptions!$F$142*Budget!$D$39,0)</f>
        <v>0</v>
      </c>
      <c r="W6" s="151">
        <f>+IF(W$3=Assumptions!$F$24,Assumptions!$F$142*Budget!$D$39,0)</f>
        <v>0</v>
      </c>
      <c r="X6" s="151">
        <f>+IF(X$3=Assumptions!$F$24,Assumptions!$F$142*Budget!$D$39,0)</f>
        <v>0</v>
      </c>
      <c r="Y6" s="151">
        <f>+IF(Y$3=Assumptions!$F$24,Assumptions!$F$142*Budget!$D$39,0)</f>
        <v>0</v>
      </c>
      <c r="Z6" s="151">
        <f>+IF(Z$3=Assumptions!$F$24,Assumptions!$F$142*Budget!$D$39,0)</f>
        <v>0</v>
      </c>
      <c r="AA6" s="151">
        <f>+IF(AA$3=Assumptions!$F$24,Assumptions!$F$142*Budget!$D$39,0)</f>
        <v>0</v>
      </c>
      <c r="AB6" s="151">
        <f>+IF(AB$3=Assumptions!$F$24,Assumptions!$F$142*Budget!$D$39,0)</f>
        <v>0</v>
      </c>
      <c r="AC6" s="151">
        <f>+IF(AC$3=Assumptions!$F$24,Assumptions!$F$142*Budget!$D$39,0)</f>
        <v>0</v>
      </c>
      <c r="AD6" s="151">
        <f>+IF(AD$3=Assumptions!$F$24,Assumptions!$F$142*Budget!$D$39,0)</f>
        <v>0</v>
      </c>
      <c r="AE6" s="151">
        <f>+IF(AE$3=Assumptions!$F$24,Assumptions!$F$142*Budget!$D$39,0)</f>
        <v>0</v>
      </c>
      <c r="AF6" s="151">
        <f>+IF(AF$3=Assumptions!$F$24,Assumptions!$F$142*Budget!$D$39,0)</f>
        <v>0</v>
      </c>
      <c r="AG6" s="151">
        <f>+IF(AG$3=Assumptions!$F$24,Assumptions!$F$142*Budget!$D$39,0)</f>
        <v>0</v>
      </c>
      <c r="AH6" s="151">
        <f>+IF(AH$3=Assumptions!$F$24,Assumptions!$F$142*Budget!$D$39,0)</f>
        <v>0</v>
      </c>
      <c r="AI6" s="151">
        <f>+IF(AI$3=Assumptions!$F$24,Assumptions!$F$142*Budget!$D$39,0)</f>
        <v>0</v>
      </c>
      <c r="AJ6" s="151">
        <f>+IF(AJ$3=Assumptions!$F$24,Assumptions!$F$142*Budget!$D$39,0)</f>
        <v>0</v>
      </c>
      <c r="AK6" s="151">
        <f>+IF(AK$3=Assumptions!$F$24,Assumptions!$F$142*Budget!$D$39,0)</f>
        <v>0</v>
      </c>
      <c r="AL6" s="151">
        <f>+IF(AL$3=Assumptions!$F$24,Assumptions!$F$142*Budget!$D$39,0)</f>
        <v>0</v>
      </c>
      <c r="AM6" s="151">
        <f>+IF(AM$3=Assumptions!$F$24,Assumptions!$F$142*Budget!$D$39,0)</f>
        <v>0</v>
      </c>
      <c r="AN6" s="151">
        <f>+IF(AN$3=Assumptions!$F$24,Assumptions!$F$142*Budget!$D$39,0)</f>
        <v>0</v>
      </c>
      <c r="AO6" s="151">
        <f>+IF(AO$3=Assumptions!$F$24,Assumptions!$F$142*Budget!$D$39,0)</f>
        <v>0</v>
      </c>
      <c r="AP6" s="151">
        <f>+IF(AP$3=Assumptions!$F$24,Assumptions!$F$142*Budget!$D$39,0)</f>
        <v>0</v>
      </c>
      <c r="AQ6" s="151">
        <f>+IF(AQ$3=Assumptions!$F$24,Assumptions!$F$142*Budget!$D$39,0)</f>
        <v>0</v>
      </c>
      <c r="AR6" s="151">
        <f>+IF(AR$3=Assumptions!$F$24,Assumptions!$F$142*Budget!$D$39,0)</f>
        <v>0</v>
      </c>
      <c r="AS6" s="151">
        <f>+IF(AS$3=Assumptions!$F$24,Assumptions!$F$142*Budget!$D$39,0)</f>
        <v>0</v>
      </c>
      <c r="AT6" s="151">
        <f>+IF(AT$3=Assumptions!$F$24,Assumptions!$F$142*Budget!$D$39,0)</f>
        <v>0</v>
      </c>
      <c r="AU6" s="151">
        <f>+IF(AU$3=Assumptions!$F$24,Assumptions!$F$142*Budget!$D$39,0)</f>
        <v>0</v>
      </c>
    </row>
    <row r="7" spans="2:47" ht="16" customHeight="1" x14ac:dyDescent="0.35">
      <c r="B7" s="33" t="s">
        <v>683</v>
      </c>
      <c r="D7" s="24"/>
      <c r="F7" s="34">
        <f t="shared" si="20"/>
        <v>4666780.0120231472</v>
      </c>
      <c r="G7" s="151">
        <f>+G15-G14</f>
        <v>0</v>
      </c>
      <c r="H7" s="151">
        <f t="shared" ref="H7:AU7" si="21">+H15-H14</f>
        <v>0</v>
      </c>
      <c r="I7" s="151">
        <f t="shared" si="21"/>
        <v>0</v>
      </c>
      <c r="J7" s="151">
        <f t="shared" si="21"/>
        <v>0</v>
      </c>
      <c r="K7" s="151">
        <f t="shared" si="21"/>
        <v>0</v>
      </c>
      <c r="L7" s="151">
        <f t="shared" si="21"/>
        <v>0</v>
      </c>
      <c r="M7" s="151">
        <f t="shared" si="21"/>
        <v>0</v>
      </c>
      <c r="N7" s="151">
        <f t="shared" si="21"/>
        <v>624834.23080320016</v>
      </c>
      <c r="O7" s="151">
        <f t="shared" si="21"/>
        <v>1249668.4616064003</v>
      </c>
      <c r="P7" s="151">
        <f t="shared" si="21"/>
        <v>1249668.4616064003</v>
      </c>
      <c r="Q7" s="151">
        <f t="shared" si="21"/>
        <v>1312151.8846867201</v>
      </c>
      <c r="R7" s="151">
        <f t="shared" si="21"/>
        <v>1312151.8846867201</v>
      </c>
      <c r="S7" s="151">
        <f t="shared" si="21"/>
        <v>1312151.8846867201</v>
      </c>
      <c r="T7" s="151">
        <f t="shared" si="21"/>
        <v>1312151.8846867201</v>
      </c>
      <c r="U7" s="151">
        <f t="shared" si="21"/>
        <v>1312151.8846867201</v>
      </c>
      <c r="V7" s="151">
        <f t="shared" si="21"/>
        <v>1377759.4789210563</v>
      </c>
      <c r="W7" s="151">
        <f t="shared" si="21"/>
        <v>1377759.4789210563</v>
      </c>
      <c r="X7" s="151">
        <f t="shared" si="21"/>
        <v>1377759.4789210563</v>
      </c>
      <c r="Y7" s="151">
        <f t="shared" si="21"/>
        <v>1377759.4789210563</v>
      </c>
      <c r="Z7" s="151">
        <f t="shared" si="21"/>
        <v>1377759.4789210563</v>
      </c>
      <c r="AA7" s="151">
        <f t="shared" si="21"/>
        <v>1446647.4528671089</v>
      </c>
      <c r="AB7" s="151">
        <f t="shared" si="21"/>
        <v>0</v>
      </c>
      <c r="AC7" s="151">
        <f t="shared" si="21"/>
        <v>0</v>
      </c>
      <c r="AD7" s="151">
        <f t="shared" si="21"/>
        <v>0</v>
      </c>
      <c r="AE7" s="151">
        <f t="shared" si="21"/>
        <v>0</v>
      </c>
      <c r="AF7" s="151">
        <f t="shared" si="21"/>
        <v>0</v>
      </c>
      <c r="AG7" s="151">
        <f t="shared" si="21"/>
        <v>0</v>
      </c>
      <c r="AH7" s="151">
        <f t="shared" si="21"/>
        <v>0</v>
      </c>
      <c r="AI7" s="151">
        <f t="shared" si="21"/>
        <v>0</v>
      </c>
      <c r="AJ7" s="151">
        <f t="shared" si="21"/>
        <v>0</v>
      </c>
      <c r="AK7" s="151">
        <f t="shared" si="21"/>
        <v>0</v>
      </c>
      <c r="AL7" s="151">
        <f t="shared" si="21"/>
        <v>0</v>
      </c>
      <c r="AM7" s="151">
        <f t="shared" si="21"/>
        <v>0</v>
      </c>
      <c r="AN7" s="151">
        <f t="shared" si="21"/>
        <v>0</v>
      </c>
      <c r="AO7" s="151">
        <f t="shared" si="21"/>
        <v>0</v>
      </c>
      <c r="AP7" s="151">
        <f t="shared" si="21"/>
        <v>0</v>
      </c>
      <c r="AQ7" s="151">
        <f t="shared" si="21"/>
        <v>0</v>
      </c>
      <c r="AR7" s="151">
        <f t="shared" si="21"/>
        <v>0</v>
      </c>
      <c r="AS7" s="151">
        <f t="shared" si="21"/>
        <v>0</v>
      </c>
      <c r="AT7" s="151">
        <f t="shared" si="21"/>
        <v>0</v>
      </c>
      <c r="AU7" s="151">
        <f t="shared" si="21"/>
        <v>0</v>
      </c>
    </row>
    <row r="8" spans="2:47" ht="16" customHeight="1" x14ac:dyDescent="0.35">
      <c r="B8" s="33" t="s">
        <v>684</v>
      </c>
      <c r="D8" s="24"/>
      <c r="F8" s="34">
        <f t="shared" si="20"/>
        <v>1658323.101647825</v>
      </c>
      <c r="G8" s="151">
        <f>+G19-G18</f>
        <v>0</v>
      </c>
      <c r="H8" s="151">
        <f t="shared" ref="H8:AU8" si="22">+H19-H18</f>
        <v>0</v>
      </c>
      <c r="I8" s="151">
        <f t="shared" si="22"/>
        <v>0</v>
      </c>
      <c r="J8" s="151">
        <f t="shared" si="22"/>
        <v>133875</v>
      </c>
      <c r="K8" s="151">
        <f t="shared" si="22"/>
        <v>267750</v>
      </c>
      <c r="L8" s="151">
        <f t="shared" si="22"/>
        <v>267750</v>
      </c>
      <c r="M8" s="151">
        <f t="shared" si="22"/>
        <v>281137.5</v>
      </c>
      <c r="N8" s="151">
        <f t="shared" si="22"/>
        <v>281137.5</v>
      </c>
      <c r="O8" s="151">
        <f t="shared" si="22"/>
        <v>281137.5</v>
      </c>
      <c r="P8" s="151">
        <f t="shared" si="22"/>
        <v>281137.5</v>
      </c>
      <c r="Q8" s="151">
        <f t="shared" si="22"/>
        <v>281137.5</v>
      </c>
      <c r="R8" s="151">
        <f t="shared" si="22"/>
        <v>295194.375</v>
      </c>
      <c r="S8" s="151">
        <f t="shared" si="22"/>
        <v>295194.375</v>
      </c>
      <c r="T8" s="151">
        <f t="shared" si="22"/>
        <v>295194.375</v>
      </c>
      <c r="U8" s="151">
        <f t="shared" si="22"/>
        <v>295194.375</v>
      </c>
      <c r="V8" s="151">
        <f t="shared" si="22"/>
        <v>295194.375</v>
      </c>
      <c r="W8" s="151">
        <f t="shared" si="22"/>
        <v>309954.09375</v>
      </c>
      <c r="X8" s="151">
        <f t="shared" si="22"/>
        <v>309954.09375</v>
      </c>
      <c r="Y8" s="151">
        <f t="shared" si="22"/>
        <v>309954.09375</v>
      </c>
      <c r="Z8" s="151">
        <f t="shared" si="22"/>
        <v>309954.09375</v>
      </c>
      <c r="AA8" s="151">
        <f t="shared" si="22"/>
        <v>309954.09375</v>
      </c>
      <c r="AB8" s="151">
        <f t="shared" si="22"/>
        <v>0</v>
      </c>
      <c r="AC8" s="151">
        <f t="shared" si="22"/>
        <v>0</v>
      </c>
      <c r="AD8" s="151">
        <f t="shared" si="22"/>
        <v>0</v>
      </c>
      <c r="AE8" s="151">
        <f t="shared" si="22"/>
        <v>0</v>
      </c>
      <c r="AF8" s="151">
        <f t="shared" si="22"/>
        <v>0</v>
      </c>
      <c r="AG8" s="151">
        <f t="shared" si="22"/>
        <v>0</v>
      </c>
      <c r="AH8" s="151">
        <f t="shared" si="22"/>
        <v>0</v>
      </c>
      <c r="AI8" s="151">
        <f t="shared" si="22"/>
        <v>0</v>
      </c>
      <c r="AJ8" s="151">
        <f t="shared" si="22"/>
        <v>0</v>
      </c>
      <c r="AK8" s="151">
        <f t="shared" si="22"/>
        <v>0</v>
      </c>
      <c r="AL8" s="151">
        <f t="shared" si="22"/>
        <v>0</v>
      </c>
      <c r="AM8" s="151">
        <f t="shared" si="22"/>
        <v>0</v>
      </c>
      <c r="AN8" s="151">
        <f t="shared" si="22"/>
        <v>0</v>
      </c>
      <c r="AO8" s="151">
        <f t="shared" si="22"/>
        <v>0</v>
      </c>
      <c r="AP8" s="151">
        <f t="shared" si="22"/>
        <v>0</v>
      </c>
      <c r="AQ8" s="151">
        <f t="shared" si="22"/>
        <v>0</v>
      </c>
      <c r="AR8" s="151">
        <f t="shared" si="22"/>
        <v>0</v>
      </c>
      <c r="AS8" s="151">
        <f t="shared" si="22"/>
        <v>0</v>
      </c>
      <c r="AT8" s="151">
        <f t="shared" si="22"/>
        <v>0</v>
      </c>
      <c r="AU8" s="151">
        <f t="shared" si="22"/>
        <v>0</v>
      </c>
    </row>
    <row r="9" spans="2:47" ht="16" customHeight="1" x14ac:dyDescent="0.35">
      <c r="B9" s="33" t="s">
        <v>682</v>
      </c>
      <c r="D9" s="24"/>
      <c r="F9" s="34">
        <f t="shared" ca="1" si="20"/>
        <v>7246836.9505206635</v>
      </c>
      <c r="G9" s="151">
        <f ca="1">+G23-G22</f>
        <v>0</v>
      </c>
      <c r="H9" s="151">
        <f t="shared" ref="H9:AU9" ca="1" si="23">+H23-H22</f>
        <v>0</v>
      </c>
      <c r="I9" s="151">
        <f t="shared" ca="1" si="23"/>
        <v>0</v>
      </c>
      <c r="J9" s="151">
        <f t="shared" ca="1" si="23"/>
        <v>355242.51124597684</v>
      </c>
      <c r="K9" s="151">
        <f t="shared" ca="1" si="23"/>
        <v>708599.79896301404</v>
      </c>
      <c r="L9" s="151">
        <f t="shared" ca="1" si="23"/>
        <v>896201.50835804234</v>
      </c>
      <c r="M9" s="151">
        <f t="shared" ca="1" si="23"/>
        <v>1079242.9491146267</v>
      </c>
      <c r="N9" s="151">
        <f t="shared" ca="1" si="23"/>
        <v>1319873.1804926004</v>
      </c>
      <c r="O9" s="151">
        <f t="shared" ca="1" si="23"/>
        <v>1554823.7911592536</v>
      </c>
      <c r="P9" s="151">
        <f t="shared" ca="1" si="23"/>
        <v>1542716.5592402972</v>
      </c>
      <c r="Q9" s="151">
        <f t="shared" ca="1" si="23"/>
        <v>1531770.3485868187</v>
      </c>
      <c r="R9" s="151">
        <f t="shared" ca="1" si="23"/>
        <v>1516139.6437404384</v>
      </c>
      <c r="S9" s="151">
        <f t="shared" ca="1" si="23"/>
        <v>1499098.2291438822</v>
      </c>
      <c r="T9" s="151">
        <f t="shared" ca="1" si="23"/>
        <v>1483047.8820323739</v>
      </c>
      <c r="U9" s="151">
        <f t="shared" ca="1" si="23"/>
        <v>1462019.3331509093</v>
      </c>
      <c r="V9" s="151">
        <f t="shared" ca="1" si="23"/>
        <v>1439344.7728737509</v>
      </c>
      <c r="W9" s="151">
        <f t="shared" ca="1" si="23"/>
        <v>1417466.7107462694</v>
      </c>
      <c r="X9" s="151">
        <f t="shared" ca="1" si="23"/>
        <v>1390288.9479845359</v>
      </c>
      <c r="Y9" s="151">
        <f t="shared" ca="1" si="23"/>
        <v>1361202.5260537006</v>
      </c>
      <c r="Z9" s="151">
        <f t="shared" ca="1" si="23"/>
        <v>1332690.7554985052</v>
      </c>
      <c r="AA9" s="151">
        <f t="shared" ca="1" si="23"/>
        <v>1298527.1997447608</v>
      </c>
      <c r="AB9" s="151">
        <f t="shared" si="23"/>
        <v>0</v>
      </c>
      <c r="AC9" s="151">
        <f t="shared" si="23"/>
        <v>0</v>
      </c>
      <c r="AD9" s="151">
        <f t="shared" si="23"/>
        <v>0</v>
      </c>
      <c r="AE9" s="151">
        <f t="shared" si="23"/>
        <v>0</v>
      </c>
      <c r="AF9" s="151">
        <f t="shared" si="23"/>
        <v>0</v>
      </c>
      <c r="AG9" s="151">
        <f t="shared" si="23"/>
        <v>0</v>
      </c>
      <c r="AH9" s="151">
        <f t="shared" si="23"/>
        <v>0</v>
      </c>
      <c r="AI9" s="151">
        <f t="shared" si="23"/>
        <v>0</v>
      </c>
      <c r="AJ9" s="151">
        <f t="shared" si="23"/>
        <v>0</v>
      </c>
      <c r="AK9" s="151">
        <f t="shared" si="23"/>
        <v>0</v>
      </c>
      <c r="AL9" s="151">
        <f t="shared" si="23"/>
        <v>0</v>
      </c>
      <c r="AM9" s="151">
        <f t="shared" si="23"/>
        <v>0</v>
      </c>
      <c r="AN9" s="151">
        <f t="shared" si="23"/>
        <v>0</v>
      </c>
      <c r="AO9" s="151">
        <f t="shared" si="23"/>
        <v>0</v>
      </c>
      <c r="AP9" s="151">
        <f t="shared" si="23"/>
        <v>0</v>
      </c>
      <c r="AQ9" s="151">
        <f t="shared" si="23"/>
        <v>0</v>
      </c>
      <c r="AR9" s="151">
        <f t="shared" si="23"/>
        <v>0</v>
      </c>
      <c r="AS9" s="151">
        <f t="shared" si="23"/>
        <v>0</v>
      </c>
      <c r="AT9" s="151">
        <f t="shared" si="23"/>
        <v>0</v>
      </c>
      <c r="AU9" s="151">
        <f t="shared" si="23"/>
        <v>0</v>
      </c>
    </row>
    <row r="10" spans="2:47" ht="16" customHeight="1" x14ac:dyDescent="0.35">
      <c r="B10" s="166" t="s">
        <v>17</v>
      </c>
      <c r="C10" s="166"/>
      <c r="D10" s="166"/>
      <c r="E10" s="166"/>
      <c r="F10" s="167"/>
      <c r="G10" s="167">
        <f ca="1">+SUM(G4:G9)</f>
        <v>8700000</v>
      </c>
      <c r="H10" s="167">
        <f t="shared" ref="H10:AU10" ca="1" si="24">+SUM(H4:H9)</f>
        <v>10192500</v>
      </c>
      <c r="I10" s="167">
        <f t="shared" ca="1" si="24"/>
        <v>8010000</v>
      </c>
      <c r="J10" s="167">
        <f t="shared" ca="1" si="24"/>
        <v>826617.5112459769</v>
      </c>
      <c r="K10" s="167">
        <f t="shared" ca="1" si="24"/>
        <v>4390635.5132487286</v>
      </c>
      <c r="L10" s="167">
        <f t="shared" ca="1" si="24"/>
        <v>5063951.5083580427</v>
      </c>
      <c r="M10" s="167">
        <f t="shared" ca="1" si="24"/>
        <v>1360380.4491146267</v>
      </c>
      <c r="N10" s="167">
        <f t="shared" ca="1" si="24"/>
        <v>2225844.9112958005</v>
      </c>
      <c r="O10" s="167">
        <f t="shared" ca="1" si="24"/>
        <v>3085629.7527656537</v>
      </c>
      <c r="P10" s="167">
        <f t="shared" ca="1" si="24"/>
        <v>3073522.5208466975</v>
      </c>
      <c r="Q10" s="167">
        <f t="shared" ca="1" si="24"/>
        <v>3125059.7332735388</v>
      </c>
      <c r="R10" s="167">
        <f t="shared" ca="1" si="24"/>
        <v>3123485.9034271585</v>
      </c>
      <c r="S10" s="167">
        <f t="shared" ca="1" si="24"/>
        <v>3106444.4888306023</v>
      </c>
      <c r="T10" s="167">
        <f t="shared" ca="1" si="24"/>
        <v>3090394.141719094</v>
      </c>
      <c r="U10" s="167">
        <f t="shared" ca="1" si="24"/>
        <v>3069365.5928376294</v>
      </c>
      <c r="V10" s="167">
        <f t="shared" ca="1" si="24"/>
        <v>3112298.6267948071</v>
      </c>
      <c r="W10" s="167">
        <f t="shared" ca="1" si="24"/>
        <v>3105180.2834173255</v>
      </c>
      <c r="X10" s="167">
        <f t="shared" ca="1" si="24"/>
        <v>3078002.520655592</v>
      </c>
      <c r="Y10" s="167">
        <f t="shared" ca="1" si="24"/>
        <v>3048916.0987247569</v>
      </c>
      <c r="Z10" s="167">
        <f t="shared" ca="1" si="24"/>
        <v>3020404.3281695615</v>
      </c>
      <c r="AA10" s="167">
        <f t="shared" ca="1" si="24"/>
        <v>3055128.7463618694</v>
      </c>
      <c r="AB10" s="167">
        <f t="shared" si="24"/>
        <v>0</v>
      </c>
      <c r="AC10" s="167">
        <f t="shared" si="24"/>
        <v>0</v>
      </c>
      <c r="AD10" s="167">
        <f t="shared" si="24"/>
        <v>0</v>
      </c>
      <c r="AE10" s="167">
        <f t="shared" si="24"/>
        <v>0</v>
      </c>
      <c r="AF10" s="167">
        <f t="shared" si="24"/>
        <v>0</v>
      </c>
      <c r="AG10" s="167">
        <f t="shared" si="24"/>
        <v>0</v>
      </c>
      <c r="AH10" s="167">
        <f t="shared" si="24"/>
        <v>0</v>
      </c>
      <c r="AI10" s="167">
        <f t="shared" si="24"/>
        <v>0</v>
      </c>
      <c r="AJ10" s="167">
        <f t="shared" si="24"/>
        <v>0</v>
      </c>
      <c r="AK10" s="167">
        <f t="shared" si="24"/>
        <v>0</v>
      </c>
      <c r="AL10" s="167">
        <f t="shared" si="24"/>
        <v>0</v>
      </c>
      <c r="AM10" s="167">
        <f t="shared" si="24"/>
        <v>0</v>
      </c>
      <c r="AN10" s="167">
        <f t="shared" si="24"/>
        <v>0</v>
      </c>
      <c r="AO10" s="167">
        <f t="shared" si="24"/>
        <v>0</v>
      </c>
      <c r="AP10" s="167">
        <f t="shared" si="24"/>
        <v>0</v>
      </c>
      <c r="AQ10" s="167">
        <f t="shared" si="24"/>
        <v>0</v>
      </c>
      <c r="AR10" s="167">
        <f t="shared" si="24"/>
        <v>0</v>
      </c>
      <c r="AS10" s="167">
        <f t="shared" si="24"/>
        <v>0</v>
      </c>
      <c r="AT10" s="167">
        <f t="shared" si="24"/>
        <v>0</v>
      </c>
      <c r="AU10" s="167">
        <f t="shared" si="24"/>
        <v>0</v>
      </c>
    </row>
    <row r="11" spans="2:47" ht="16" customHeight="1" x14ac:dyDescent="0.35">
      <c r="B11" s="119" t="s">
        <v>641</v>
      </c>
      <c r="C11" s="119"/>
      <c r="D11" s="119"/>
      <c r="E11" s="552">
        <v>0.1</v>
      </c>
      <c r="F11" s="551">
        <f ca="1">+NPV(E11,G10:AU10)</f>
        <v>40474584.41892413</v>
      </c>
      <c r="AB11" s="207"/>
    </row>
    <row r="12" spans="2:47" ht="16" customHeight="1" x14ac:dyDescent="0.35">
      <c r="AB12" s="207"/>
    </row>
    <row r="13" spans="2:47" ht="16" customHeight="1" x14ac:dyDescent="0.35">
      <c r="B13" s="148" t="s">
        <v>640</v>
      </c>
      <c r="AB13" s="207"/>
    </row>
    <row r="14" spans="2:47" ht="16" customHeight="1" x14ac:dyDescent="0.35">
      <c r="B14" s="33" t="s">
        <v>639</v>
      </c>
      <c r="G14" s="151">
        <f>+SUMIF('Phase III Pro Forma'!$F$74:$Z$74,'Public Benefits'!G$3,'Phase III Pro Forma'!$F$82:$Z$82)</f>
        <v>0</v>
      </c>
      <c r="H14" s="151">
        <f>+SUMIF('Phase III Pro Forma'!$F$74:$Z$74,'Public Benefits'!H$3,'Phase III Pro Forma'!$F$82:$Z$82)</f>
        <v>0</v>
      </c>
      <c r="I14" s="151">
        <f>+SUMIF('Phase III Pro Forma'!$F$74:$Z$74,'Public Benefits'!I$3,'Phase III Pro Forma'!$F$82:$Z$82)</f>
        <v>0</v>
      </c>
      <c r="J14" s="151">
        <f>+SUMIF('Phase III Pro Forma'!$F$74:$Z$74,'Public Benefits'!J$3,'Phase III Pro Forma'!$F$82:$Z$82)</f>
        <v>0</v>
      </c>
      <c r="K14" s="151">
        <f>+SUMIF('Phase III Pro Forma'!$F$74:$Z$74,'Public Benefits'!K$3,'Phase III Pro Forma'!$F$82:$Z$82)</f>
        <v>0</v>
      </c>
      <c r="L14" s="151">
        <f>+SUMIF('Phase III Pro Forma'!$F$74:$Z$74,'Public Benefits'!L$3,'Phase III Pro Forma'!$F$82:$Z$82)</f>
        <v>0</v>
      </c>
      <c r="M14" s="151">
        <f>+SUMIF('Phase III Pro Forma'!$F$74:$Z$74,'Public Benefits'!M$3,'Phase III Pro Forma'!$F$82:$Z$82)</f>
        <v>0</v>
      </c>
      <c r="N14" s="151">
        <f>+SUMIF('Phase III Pro Forma'!$F$74:$Z$74,'Public Benefits'!N$3,'Phase III Pro Forma'!$F$82:$Z$82)</f>
        <v>391050</v>
      </c>
      <c r="O14" s="151">
        <f>+SUMIF('Phase III Pro Forma'!$F$74:$Z$74,'Public Benefits'!O$3,'Phase III Pro Forma'!$F$82:$Z$82)</f>
        <v>782100</v>
      </c>
      <c r="P14" s="151">
        <f>+SUMIF('Phase III Pro Forma'!$F$74:$Z$74,'Public Benefits'!P$3,'Phase III Pro Forma'!$F$82:$Z$82)</f>
        <v>782100</v>
      </c>
      <c r="Q14" s="151">
        <f>+SUMIF('Phase III Pro Forma'!$F$74:$Z$74,'Public Benefits'!Q$3,'Phase III Pro Forma'!$F$82:$Z$82)</f>
        <v>821205</v>
      </c>
      <c r="R14" s="151">
        <f>+SUMIF('Phase III Pro Forma'!$F$74:$Z$74,'Public Benefits'!R$3,'Phase III Pro Forma'!$F$82:$Z$82)</f>
        <v>821205</v>
      </c>
      <c r="S14" s="151">
        <f>+SUMIF('Phase III Pro Forma'!$F$74:$Z$74,'Public Benefits'!S$3,'Phase III Pro Forma'!$F$82:$Z$82)</f>
        <v>821205</v>
      </c>
      <c r="T14" s="151">
        <f>+SUMIF('Phase III Pro Forma'!$F$74:$Z$74,'Public Benefits'!T$3,'Phase III Pro Forma'!$F$82:$Z$82)</f>
        <v>821205</v>
      </c>
      <c r="U14" s="151">
        <f>+SUMIF('Phase III Pro Forma'!$F$74:$Z$74,'Public Benefits'!U$3,'Phase III Pro Forma'!$F$82:$Z$82)</f>
        <v>821205</v>
      </c>
      <c r="V14" s="151">
        <f>+SUMIF('Phase III Pro Forma'!$F$74:$Z$74,'Public Benefits'!V$3,'Phase III Pro Forma'!$F$82:$Z$82)</f>
        <v>862265.25</v>
      </c>
      <c r="W14" s="151">
        <f>+SUMIF('Phase III Pro Forma'!$F$74:$Z$74,'Public Benefits'!W$3,'Phase III Pro Forma'!$F$82:$Z$82)</f>
        <v>862265.25</v>
      </c>
      <c r="X14" s="151">
        <f>+SUMIF('Phase III Pro Forma'!$F$74:$Z$74,'Public Benefits'!X$3,'Phase III Pro Forma'!$F$82:$Z$82)</f>
        <v>862265.25</v>
      </c>
      <c r="Y14" s="151">
        <f>+SUMIF('Phase III Pro Forma'!$F$74:$Z$74,'Public Benefits'!Y$3,'Phase III Pro Forma'!$F$82:$Z$82)</f>
        <v>862265.25</v>
      </c>
      <c r="Z14" s="151">
        <f>+SUMIF('Phase III Pro Forma'!$F$74:$Z$74,'Public Benefits'!Z$3,'Phase III Pro Forma'!$F$82:$Z$82)</f>
        <v>862265.25</v>
      </c>
      <c r="AA14" s="151">
        <f>+SUMIF('Phase III Pro Forma'!$F$74:$Z$74,'Public Benefits'!AA$3,'Phase III Pro Forma'!$F$82:$Z$82)</f>
        <v>905378.51250000007</v>
      </c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</row>
    <row r="15" spans="2:47" ht="16" customHeight="1" x14ac:dyDescent="0.35">
      <c r="B15" s="33" t="s">
        <v>638</v>
      </c>
      <c r="G15" s="151">
        <f>+G14*(Assumptions!$H$161/Assumptions!$H$147)</f>
        <v>0</v>
      </c>
      <c r="H15" s="151">
        <f>+H14*(Assumptions!$H$161/Assumptions!$H$147)</f>
        <v>0</v>
      </c>
      <c r="I15" s="151">
        <f>+I14*(Assumptions!$H$161/Assumptions!$H$147)</f>
        <v>0</v>
      </c>
      <c r="J15" s="151">
        <f>+J14*(Assumptions!$H$161/Assumptions!$H$147)</f>
        <v>0</v>
      </c>
      <c r="K15" s="151">
        <f>+K14*(Assumptions!$H$161/Assumptions!$H$147)</f>
        <v>0</v>
      </c>
      <c r="L15" s="151">
        <f>+L14*(Assumptions!$H$161/Assumptions!$H$147)</f>
        <v>0</v>
      </c>
      <c r="M15" s="151">
        <f>+M14*(Assumptions!$H$161/Assumptions!$H$147)</f>
        <v>0</v>
      </c>
      <c r="N15" s="151">
        <f>+N14*(Assumptions!$H$161/Assumptions!$H$147)</f>
        <v>1015884.2308032002</v>
      </c>
      <c r="O15" s="151">
        <f>+O14*(Assumptions!$H$161/Assumptions!$H$147)</f>
        <v>2031768.4616064003</v>
      </c>
      <c r="P15" s="151">
        <f>+P14*(Assumptions!$H$161/Assumptions!$H$147)</f>
        <v>2031768.4616064003</v>
      </c>
      <c r="Q15" s="151">
        <f>+Q14*(Assumptions!$H$161/Assumptions!$H$147)</f>
        <v>2133356.8846867201</v>
      </c>
      <c r="R15" s="151">
        <f>+R14*(Assumptions!$H$161/Assumptions!$H$147)</f>
        <v>2133356.8846867201</v>
      </c>
      <c r="S15" s="151">
        <f>+S14*(Assumptions!$H$161/Assumptions!$H$147)</f>
        <v>2133356.8846867201</v>
      </c>
      <c r="T15" s="151">
        <f>+T14*(Assumptions!$H$161/Assumptions!$H$147)</f>
        <v>2133356.8846867201</v>
      </c>
      <c r="U15" s="151">
        <f>+U14*(Assumptions!$H$161/Assumptions!$H$147)</f>
        <v>2133356.8846867201</v>
      </c>
      <c r="V15" s="151">
        <f>+V14*(Assumptions!$H$161/Assumptions!$H$147)</f>
        <v>2240024.7289210563</v>
      </c>
      <c r="W15" s="151">
        <f>+W14*(Assumptions!$H$161/Assumptions!$H$147)</f>
        <v>2240024.7289210563</v>
      </c>
      <c r="X15" s="151">
        <f>+X14*(Assumptions!$H$161/Assumptions!$H$147)</f>
        <v>2240024.7289210563</v>
      </c>
      <c r="Y15" s="151">
        <f>+Y14*(Assumptions!$H$161/Assumptions!$H$147)</f>
        <v>2240024.7289210563</v>
      </c>
      <c r="Z15" s="151">
        <f>+Z14*(Assumptions!$H$161/Assumptions!$H$147)</f>
        <v>2240024.7289210563</v>
      </c>
      <c r="AA15" s="151">
        <f>+AA14*(Assumptions!$H$161/Assumptions!$H$147)</f>
        <v>2352025.965367109</v>
      </c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</row>
    <row r="16" spans="2:47" ht="16" customHeight="1" x14ac:dyDescent="0.35">
      <c r="AB16" s="207"/>
    </row>
    <row r="17" spans="2:47" ht="16" customHeight="1" x14ac:dyDescent="0.35">
      <c r="B17" s="148" t="s">
        <v>642</v>
      </c>
      <c r="AB17" s="207"/>
    </row>
    <row r="18" spans="2:47" ht="16" customHeight="1" x14ac:dyDescent="0.35">
      <c r="B18" s="33" t="s">
        <v>639</v>
      </c>
      <c r="G18" s="151">
        <f>+SUMIF('Phase I Pro Forma'!$F$74:$Z$74,'Public Benefits'!G$3,'Phase I Pro Forma'!$F$82:$Z$82)</f>
        <v>0</v>
      </c>
      <c r="H18" s="151">
        <f>+SUMIF('Phase I Pro Forma'!$F$74:$Z$74,'Public Benefits'!H$3,'Phase I Pro Forma'!$F$82:$Z$82)</f>
        <v>0</v>
      </c>
      <c r="I18" s="151">
        <f>+SUMIF('Phase I Pro Forma'!$F$74:$Z$74,'Public Benefits'!I$3,'Phase I Pro Forma'!$F$82:$Z$82)</f>
        <v>0</v>
      </c>
      <c r="J18" s="151">
        <f>+SUMIF('Phase I Pro Forma'!$F$74:$Z$74,'Public Benefits'!J$3,'Phase I Pro Forma'!$F$82:$Z$82)</f>
        <v>95625</v>
      </c>
      <c r="K18" s="151">
        <f>+SUMIF('Phase I Pro Forma'!$F$74:$Z$74,'Public Benefits'!K$3,'Phase I Pro Forma'!$F$82:$Z$82)</f>
        <v>191250</v>
      </c>
      <c r="L18" s="151">
        <f>+SUMIF('Phase I Pro Forma'!$F$74:$Z$74,'Public Benefits'!L$3,'Phase I Pro Forma'!$F$82:$Z$82)</f>
        <v>191250</v>
      </c>
      <c r="M18" s="151">
        <f>+SUMIF('Phase I Pro Forma'!$F$74:$Z$74,'Public Benefits'!M$3,'Phase I Pro Forma'!$F$82:$Z$82)</f>
        <v>200812.5</v>
      </c>
      <c r="N18" s="151">
        <f>+SUMIF('Phase I Pro Forma'!$F$74:$Z$74,'Public Benefits'!N$3,'Phase I Pro Forma'!$F$82:$Z$82)</f>
        <v>200812.5</v>
      </c>
      <c r="O18" s="151">
        <f>+SUMIF('Phase I Pro Forma'!$F$74:$Z$74,'Public Benefits'!O$3,'Phase I Pro Forma'!$F$82:$Z$82)</f>
        <v>200812.5</v>
      </c>
      <c r="P18" s="151">
        <f>+SUMIF('Phase I Pro Forma'!$F$74:$Z$74,'Public Benefits'!P$3,'Phase I Pro Forma'!$F$82:$Z$82)</f>
        <v>200812.5</v>
      </c>
      <c r="Q18" s="151">
        <f>+SUMIF('Phase I Pro Forma'!$F$74:$Z$74,'Public Benefits'!Q$3,'Phase I Pro Forma'!$F$82:$Z$82)</f>
        <v>200812.5</v>
      </c>
      <c r="R18" s="151">
        <f>+SUMIF('Phase I Pro Forma'!$F$74:$Z$74,'Public Benefits'!R$3,'Phase I Pro Forma'!$F$82:$Z$82)</f>
        <v>210853.125</v>
      </c>
      <c r="S18" s="151">
        <f>+SUMIF('Phase I Pro Forma'!$F$74:$Z$74,'Public Benefits'!S$3,'Phase I Pro Forma'!$F$82:$Z$82)</f>
        <v>210853.125</v>
      </c>
      <c r="T18" s="151">
        <f>+SUMIF('Phase I Pro Forma'!$F$74:$Z$74,'Public Benefits'!T$3,'Phase I Pro Forma'!$F$82:$Z$82)</f>
        <v>210853.125</v>
      </c>
      <c r="U18" s="151">
        <f>+SUMIF('Phase I Pro Forma'!$F$74:$Z$74,'Public Benefits'!U$3,'Phase I Pro Forma'!$F$82:$Z$82)</f>
        <v>210853.125</v>
      </c>
      <c r="V18" s="151">
        <f>+SUMIF('Phase I Pro Forma'!$F$74:$Z$74,'Public Benefits'!V$3,'Phase I Pro Forma'!$F$82:$Z$82)</f>
        <v>210853.125</v>
      </c>
      <c r="W18" s="151">
        <f>+SUMIF('Phase I Pro Forma'!$F$74:$Z$74,'Public Benefits'!W$3,'Phase I Pro Forma'!$F$82:$Z$82)</f>
        <v>221395.78125000003</v>
      </c>
      <c r="X18" s="151">
        <f>+SUMIF('Phase I Pro Forma'!$F$74:$Z$74,'Public Benefits'!X$3,'Phase I Pro Forma'!$F$82:$Z$82)</f>
        <v>221395.78125000003</v>
      </c>
      <c r="Y18" s="151">
        <f>+SUMIF('Phase I Pro Forma'!$F$74:$Z$74,'Public Benefits'!Y$3,'Phase I Pro Forma'!$F$82:$Z$82)</f>
        <v>221395.78125000003</v>
      </c>
      <c r="Z18" s="151">
        <f>+SUMIF('Phase I Pro Forma'!$F$74:$Z$74,'Public Benefits'!Z$3,'Phase I Pro Forma'!$F$82:$Z$82)</f>
        <v>221395.78125000003</v>
      </c>
      <c r="AA18" s="151">
        <f>+SUMIF('Phase I Pro Forma'!$F$74:$Z$74,'Public Benefits'!AA$3,'Phase I Pro Forma'!$F$82:$Z$82)</f>
        <v>221395.78125000003</v>
      </c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2:47" ht="16" customHeight="1" x14ac:dyDescent="0.35">
      <c r="B19" s="33" t="s">
        <v>638</v>
      </c>
      <c r="G19" s="151">
        <f>+G18*(Assumptions!$F$161/Assumptions!$F$151)</f>
        <v>0</v>
      </c>
      <c r="H19" s="151">
        <f>+H18*(Assumptions!$F$161/Assumptions!$F$151)</f>
        <v>0</v>
      </c>
      <c r="I19" s="151">
        <f>+I18*(Assumptions!$F$161/Assumptions!$F$151)</f>
        <v>0</v>
      </c>
      <c r="J19" s="151">
        <f>+J18*(Assumptions!$F$161/Assumptions!$F$151)</f>
        <v>229500</v>
      </c>
      <c r="K19" s="151">
        <f>+K18*(Assumptions!$F$161/Assumptions!$F$151)</f>
        <v>459000</v>
      </c>
      <c r="L19" s="151">
        <f>+L18*(Assumptions!$F$161/Assumptions!$F$151)</f>
        <v>459000</v>
      </c>
      <c r="M19" s="151">
        <f>+M18*(Assumptions!$F$161/Assumptions!$F$151)</f>
        <v>481950</v>
      </c>
      <c r="N19" s="151">
        <f>+N18*(Assumptions!$F$161/Assumptions!$F$151)</f>
        <v>481950</v>
      </c>
      <c r="O19" s="151">
        <f>+O18*(Assumptions!$F$161/Assumptions!$F$151)</f>
        <v>481950</v>
      </c>
      <c r="P19" s="151">
        <f>+P18*(Assumptions!$F$161/Assumptions!$F$151)</f>
        <v>481950</v>
      </c>
      <c r="Q19" s="151">
        <f>+Q18*(Assumptions!$F$161/Assumptions!$F$151)</f>
        <v>481950</v>
      </c>
      <c r="R19" s="151">
        <f>+R18*(Assumptions!$F$161/Assumptions!$F$151)</f>
        <v>506047.5</v>
      </c>
      <c r="S19" s="151">
        <f>+S18*(Assumptions!$F$161/Assumptions!$F$151)</f>
        <v>506047.5</v>
      </c>
      <c r="T19" s="151">
        <f>+T18*(Assumptions!$F$161/Assumptions!$F$151)</f>
        <v>506047.5</v>
      </c>
      <c r="U19" s="151">
        <f>+U18*(Assumptions!$F$161/Assumptions!$F$151)</f>
        <v>506047.5</v>
      </c>
      <c r="V19" s="151">
        <f>+V18*(Assumptions!$F$161/Assumptions!$F$151)</f>
        <v>506047.5</v>
      </c>
      <c r="W19" s="151">
        <f>+W18*(Assumptions!$F$161/Assumptions!$F$151)</f>
        <v>531349.875</v>
      </c>
      <c r="X19" s="151">
        <f>+X18*(Assumptions!$F$161/Assumptions!$F$151)</f>
        <v>531349.875</v>
      </c>
      <c r="Y19" s="151">
        <f>+Y18*(Assumptions!$F$161/Assumptions!$F$151)</f>
        <v>531349.875</v>
      </c>
      <c r="Z19" s="151">
        <f>+Z18*(Assumptions!$F$161/Assumptions!$F$151)</f>
        <v>531349.875</v>
      </c>
      <c r="AA19" s="151">
        <f>+AA18*(Assumptions!$F$161/Assumptions!$F$151)</f>
        <v>531349.875</v>
      </c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</row>
    <row r="20" spans="2:47" ht="16" customHeight="1" x14ac:dyDescent="0.35">
      <c r="AB20" s="207"/>
    </row>
    <row r="21" spans="2:47" ht="16" customHeight="1" x14ac:dyDescent="0.35">
      <c r="B21" s="148" t="s">
        <v>680</v>
      </c>
      <c r="AB21" s="207"/>
    </row>
    <row r="22" spans="2:47" ht="16" customHeight="1" x14ac:dyDescent="0.35">
      <c r="B22" s="33" t="s">
        <v>681</v>
      </c>
      <c r="G22" s="151">
        <f ca="1">+SUMIF('Phase I Pro Forma'!$F$74:$Z$74,'Public Benefits'!G$3,'Phase I Pro Forma'!$F$26:$Z$26)+SUMIF('Phase II Pro Forma'!$F$74:$Z$74,'Public Benefits'!G$3,'Phase II Pro Forma'!$F$26:$Z$26)+SUMIF('Phase III Pro Forma'!$F$74:$Z$74,'Public Benefits'!G$3,'Phase III Pro Forma'!$F$26:$Z$26)</f>
        <v>0</v>
      </c>
      <c r="H22" s="151">
        <f ca="1">+SUMIF('Phase I Pro Forma'!$F$74:$Z$74,'Public Benefits'!H$3,'Phase I Pro Forma'!$F$26:$Z$26)+SUMIF('Phase II Pro Forma'!$F$74:$Z$74,'Public Benefits'!H$3,'Phase II Pro Forma'!$F$26:$Z$26)+SUMIF('Phase III Pro Forma'!$F$74:$Z$74,'Public Benefits'!H$3,'Phase III Pro Forma'!$F$26:$Z$26)</f>
        <v>0</v>
      </c>
      <c r="I22" s="151">
        <f ca="1">+SUMIF('Phase I Pro Forma'!$F$74:$Z$74,'Public Benefits'!I$3,'Phase I Pro Forma'!$F$26:$Z$26)+SUMIF('Phase II Pro Forma'!$F$74:$Z$74,'Public Benefits'!I$3,'Phase II Pro Forma'!$F$26:$Z$26)+SUMIF('Phase III Pro Forma'!$F$74:$Z$74,'Public Benefits'!I$3,'Phase III Pro Forma'!$F$26:$Z$26)</f>
        <v>0</v>
      </c>
      <c r="J22" s="151">
        <f ca="1">+SUMIF('Phase I Pro Forma'!$F$74:$Z$74,'Public Benefits'!J$3,'Phase I Pro Forma'!$F$26:$Z$26)+SUMIF('Phase II Pro Forma'!$F$74:$Z$74,'Public Benefits'!J$3,'Phase II Pro Forma'!$F$26:$Z$26)+SUMIF('Phase III Pro Forma'!$F$74:$Z$74,'Public Benefits'!J$3,'Phase III Pro Forma'!$F$26:$Z$26)</f>
        <v>213092.90858120978</v>
      </c>
      <c r="K22" s="151">
        <f ca="1">+SUMIF('Phase I Pro Forma'!$F$74:$Z$74,'Public Benefits'!K$3,'Phase I Pro Forma'!$F$26:$Z$26)+SUMIF('Phase II Pro Forma'!$F$74:$Z$74,'Public Benefits'!K$3,'Phase II Pro Forma'!$F$26:$Z$26)+SUMIF('Phase III Pro Forma'!$F$74:$Z$74,'Public Benefits'!K$3,'Phase III Pro Forma'!$F$26:$Z$26)</f>
        <v>425054.96217634692</v>
      </c>
      <c r="L22" s="151">
        <f ca="1">+SUMIF('Phase I Pro Forma'!$F$74:$Z$74,'Public Benefits'!L$3,'Phase I Pro Forma'!$F$26:$Z$26)+SUMIF('Phase II Pro Forma'!$F$74:$Z$74,'Public Benefits'!L$3,'Phase II Pro Forma'!$F$26:$Z$26)+SUMIF('Phase III Pro Forma'!$F$74:$Z$74,'Public Benefits'!L$3,'Phase III Pro Forma'!$F$26:$Z$26)</f>
        <v>537588.21099721477</v>
      </c>
      <c r="M22" s="151">
        <f ca="1">+SUMIF('Phase I Pro Forma'!$F$74:$Z$74,'Public Benefits'!M$3,'Phase I Pro Forma'!$F$26:$Z$26)+SUMIF('Phase II Pro Forma'!$F$74:$Z$74,'Public Benefits'!M$3,'Phase II Pro Forma'!$F$26:$Z$26)+SUMIF('Phase III Pro Forma'!$F$74:$Z$74,'Public Benefits'!M$3,'Phase III Pro Forma'!$F$26:$Z$26)</f>
        <v>647385.97384071629</v>
      </c>
      <c r="N22" s="151">
        <f ca="1">+SUMIF('Phase I Pro Forma'!$F$74:$Z$74,'Public Benefits'!N$3,'Phase I Pro Forma'!$F$26:$Z$26)+SUMIF('Phase II Pro Forma'!$F$74:$Z$74,'Public Benefits'!N$3,'Phase II Pro Forma'!$F$26:$Z$26)+SUMIF('Phase III Pro Forma'!$F$74:$Z$74,'Public Benefits'!N$3,'Phase III Pro Forma'!$F$26:$Z$26)</f>
        <v>791728.48430505954</v>
      </c>
      <c r="O22" s="151">
        <f ca="1">+SUMIF('Phase I Pro Forma'!$F$74:$Z$74,'Public Benefits'!O$3,'Phase I Pro Forma'!$F$26:$Z$26)+SUMIF('Phase II Pro Forma'!$F$74:$Z$74,'Public Benefits'!O$3,'Phase II Pro Forma'!$F$26:$Z$26)+SUMIF('Phase III Pro Forma'!$F$74:$Z$74,'Public Benefits'!O$3,'Phase III Pro Forma'!$F$26:$Z$26)</f>
        <v>932664.06328260386</v>
      </c>
      <c r="P22" s="151">
        <f ca="1">+SUMIF('Phase I Pro Forma'!$F$74:$Z$74,'Public Benefits'!P$3,'Phase I Pro Forma'!$F$26:$Z$26)+SUMIF('Phase II Pro Forma'!$F$74:$Z$74,'Public Benefits'!P$3,'Phase II Pro Forma'!$F$26:$Z$26)+SUMIF('Phase III Pro Forma'!$F$74:$Z$74,'Public Benefits'!P$3,'Phase III Pro Forma'!$F$26:$Z$26)</f>
        <v>925401.51676071191</v>
      </c>
      <c r="Q22" s="151">
        <f ca="1">+SUMIF('Phase I Pro Forma'!$F$74:$Z$74,'Public Benefits'!Q$3,'Phase I Pro Forma'!$F$26:$Z$26)+SUMIF('Phase II Pro Forma'!$F$74:$Z$74,'Public Benefits'!Q$3,'Phase II Pro Forma'!$F$26:$Z$26)+SUMIF('Phase III Pro Forma'!$F$74:$Z$74,'Public Benefits'!Q$3,'Phase III Pro Forma'!$F$26:$Z$26)</f>
        <v>918835.41109415982</v>
      </c>
      <c r="R22" s="151">
        <f ca="1">+SUMIF('Phase I Pro Forma'!$F$74:$Z$74,'Public Benefits'!R$3,'Phase I Pro Forma'!$F$26:$Z$26)+SUMIF('Phase II Pro Forma'!$F$74:$Z$74,'Public Benefits'!R$3,'Phase II Pro Forma'!$F$26:$Z$26)+SUMIF('Phase III Pro Forma'!$F$74:$Z$74,'Public Benefits'!R$3,'Phase III Pro Forma'!$F$26:$Z$26)</f>
        <v>909459.30251073837</v>
      </c>
      <c r="S22" s="151">
        <f ca="1">+SUMIF('Phase I Pro Forma'!$F$74:$Z$74,'Public Benefits'!S$3,'Phase I Pro Forma'!$F$26:$Z$26)+SUMIF('Phase II Pro Forma'!$F$74:$Z$74,'Public Benefits'!S$3,'Phase II Pro Forma'!$F$26:$Z$26)+SUMIF('Phase III Pro Forma'!$F$74:$Z$74,'Public Benefits'!S$3,'Phase III Pro Forma'!$F$26:$Z$26)</f>
        <v>899236.97695070959</v>
      </c>
      <c r="T22" s="151">
        <f ca="1">+SUMIF('Phase I Pro Forma'!$F$74:$Z$74,'Public Benefits'!T$3,'Phase I Pro Forma'!$F$26:$Z$26)+SUMIF('Phase II Pro Forma'!$F$74:$Z$74,'Public Benefits'!T$3,'Phase II Pro Forma'!$F$26:$Z$26)+SUMIF('Phase III Pro Forma'!$F$74:$Z$74,'Public Benefits'!T$3,'Phase III Pro Forma'!$F$26:$Z$26)</f>
        <v>889609.14514157956</v>
      </c>
      <c r="U22" s="151">
        <f ca="1">+SUMIF('Phase I Pro Forma'!$F$74:$Z$74,'Public Benefits'!U$3,'Phase I Pro Forma'!$F$26:$Z$26)+SUMIF('Phase II Pro Forma'!$F$74:$Z$74,'Public Benefits'!U$3,'Phase II Pro Forma'!$F$26:$Z$26)+SUMIF('Phase III Pro Forma'!$F$74:$Z$74,'Public Benefits'!U$3,'Phase III Pro Forma'!$F$26:$Z$26)</f>
        <v>876995.12935648474</v>
      </c>
      <c r="V22" s="151">
        <f ca="1">+SUMIF('Phase I Pro Forma'!$F$74:$Z$74,'Public Benefits'!V$3,'Phase I Pro Forma'!$F$26:$Z$26)+SUMIF('Phase II Pro Forma'!$F$74:$Z$74,'Public Benefits'!V$3,'Phase II Pro Forma'!$F$26:$Z$26)+SUMIF('Phase III Pro Forma'!$F$74:$Z$74,'Public Benefits'!V$3,'Phase III Pro Forma'!$F$26:$Z$26)</f>
        <v>863393.75044687011</v>
      </c>
      <c r="W22" s="151">
        <f ca="1">+SUMIF('Phase I Pro Forma'!$F$74:$Z$74,'Public Benefits'!W$3,'Phase I Pro Forma'!$F$26:$Z$26)+SUMIF('Phase II Pro Forma'!$F$74:$Z$74,'Public Benefits'!W$3,'Phase II Pro Forma'!$F$26:$Z$26)+SUMIF('Phase III Pro Forma'!$F$74:$Z$74,'Public Benefits'!W$3,'Phase III Pro Forma'!$F$26:$Z$26)</f>
        <v>850270.15249539248</v>
      </c>
      <c r="X22" s="151">
        <f ca="1">+SUMIF('Phase I Pro Forma'!$F$74:$Z$74,'Public Benefits'!X$3,'Phase I Pro Forma'!$F$26:$Z$26)+SUMIF('Phase II Pro Forma'!$F$74:$Z$74,'Public Benefits'!X$3,'Phase II Pro Forma'!$F$26:$Z$26)+SUMIF('Phase III Pro Forma'!$F$74:$Z$74,'Public Benefits'!X$3,'Phase III Pro Forma'!$F$26:$Z$26)</f>
        <v>833967.51885136357</v>
      </c>
      <c r="Y22" s="151">
        <f ca="1">+SUMIF('Phase I Pro Forma'!$F$74:$Z$74,'Public Benefits'!Y$3,'Phase I Pro Forma'!$F$26:$Z$26)+SUMIF('Phase II Pro Forma'!$F$74:$Z$74,'Public Benefits'!Y$3,'Phase II Pro Forma'!$F$26:$Z$26)+SUMIF('Phase III Pro Forma'!$F$74:$Z$74,'Public Benefits'!Y$3,'Phase III Pro Forma'!$F$26:$Z$26)</f>
        <v>816519.97230710904</v>
      </c>
      <c r="Z22" s="151">
        <f ca="1">+SUMIF('Phase I Pro Forma'!$F$74:$Z$74,'Public Benefits'!Z$3,'Phase I Pro Forma'!$F$26:$Z$26)+SUMIF('Phase II Pro Forma'!$F$74:$Z$74,'Public Benefits'!Z$3,'Phase II Pro Forma'!$F$26:$Z$26)+SUMIF('Phase III Pro Forma'!$F$74:$Z$74,'Public Benefits'!Z$3,'Phase III Pro Forma'!$F$26:$Z$26)</f>
        <v>799417.13150380319</v>
      </c>
      <c r="AA22" s="151">
        <f ca="1">+SUMIF('Phase I Pro Forma'!$F$74:$Z$74,'Public Benefits'!AA$3,'Phase I Pro Forma'!$F$26:$Z$26)+SUMIF('Phase II Pro Forma'!$F$74:$Z$74,'Public Benefits'!AA$3,'Phase II Pro Forma'!$F$26:$Z$26)+SUMIF('Phase III Pro Forma'!$F$74:$Z$74,'Public Benefits'!AA$3,'Phase III Pro Forma'!$F$26:$Z$26)</f>
        <v>778924.05639995984</v>
      </c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</row>
    <row r="23" spans="2:47" ht="16" customHeight="1" x14ac:dyDescent="0.35">
      <c r="B23" s="33" t="s">
        <v>638</v>
      </c>
      <c r="G23" s="151">
        <f ca="1">+G22*AVERAGE(Assumptions!$F$63,Assumptions!$F$67,Assumptions!$F$71,Assumptions!$F$75,Assumptions!$F$79)/AVERAGE(Assumptions!$F$36,Assumptions!$F$40,Assumptions!$F$44,Assumptions!$F$48,Assumptions!$F$52)</f>
        <v>0</v>
      </c>
      <c r="H23" s="151">
        <f ca="1">+H22*AVERAGE(Assumptions!$F$63,Assumptions!$F$67,Assumptions!$F$71,Assumptions!$F$75,Assumptions!$F$79)/AVERAGE(Assumptions!$F$36,Assumptions!$F$40,Assumptions!$F$44,Assumptions!$F$48,Assumptions!$F$52)</f>
        <v>0</v>
      </c>
      <c r="I23" s="151">
        <f ca="1">+I22*AVERAGE(Assumptions!$F$63,Assumptions!$F$67,Assumptions!$F$71,Assumptions!$F$75,Assumptions!$F$79)/AVERAGE(Assumptions!$F$36,Assumptions!$F$40,Assumptions!$F$44,Assumptions!$F$48,Assumptions!$F$52)</f>
        <v>0</v>
      </c>
      <c r="J23" s="151">
        <f ca="1">+J22*AVERAGE(Assumptions!$F$63,Assumptions!$F$67,Assumptions!$F$71,Assumptions!$F$75,Assumptions!$F$79)/AVERAGE(Assumptions!$F$36,Assumptions!$F$40,Assumptions!$F$44,Assumptions!$F$48,Assumptions!$F$52)</f>
        <v>568335.41982718662</v>
      </c>
      <c r="K23" s="151">
        <f ca="1">+K22*AVERAGE(Assumptions!$F$63,Assumptions!$F$67,Assumptions!$F$71,Assumptions!$F$75,Assumptions!$F$79)/AVERAGE(Assumptions!$F$36,Assumptions!$F$40,Assumptions!$F$44,Assumptions!$F$48,Assumptions!$F$52)</f>
        <v>1133654.761139361</v>
      </c>
      <c r="L23" s="151">
        <f ca="1">+L22*AVERAGE(Assumptions!$F$63,Assumptions!$F$67,Assumptions!$F$71,Assumptions!$F$75,Assumptions!$F$79)/AVERAGE(Assumptions!$F$36,Assumptions!$F$40,Assumptions!$F$44,Assumptions!$F$48,Assumptions!$F$52)</f>
        <v>1433789.7193552572</v>
      </c>
      <c r="M23" s="151">
        <f ca="1">+M22*AVERAGE(Assumptions!$F$63,Assumptions!$F$67,Assumptions!$F$71,Assumptions!$F$75,Assumptions!$F$79)/AVERAGE(Assumptions!$F$36,Assumptions!$F$40,Assumptions!$F$44,Assumptions!$F$48,Assumptions!$F$52)</f>
        <v>1726628.9229553428</v>
      </c>
      <c r="N23" s="151">
        <f ca="1">+N22*AVERAGE(Assumptions!$F$63,Assumptions!$F$67,Assumptions!$F$71,Assumptions!$F$75,Assumptions!$F$79)/AVERAGE(Assumptions!$F$36,Assumptions!$F$40,Assumptions!$F$44,Assumptions!$F$48,Assumptions!$F$52)</f>
        <v>2111601.66479766</v>
      </c>
      <c r="O23" s="151">
        <f ca="1">+O22*AVERAGE(Assumptions!$F$63,Assumptions!$F$67,Assumptions!$F$71,Assumptions!$F$75,Assumptions!$F$79)/AVERAGE(Assumptions!$F$36,Assumptions!$F$40,Assumptions!$F$44,Assumptions!$F$48,Assumptions!$F$52)</f>
        <v>2487487.8544418579</v>
      </c>
      <c r="P23" s="151">
        <f ca="1">+P22*AVERAGE(Assumptions!$F$63,Assumptions!$F$67,Assumptions!$F$71,Assumptions!$F$75,Assumptions!$F$79)/AVERAGE(Assumptions!$F$36,Assumptions!$F$40,Assumptions!$F$44,Assumptions!$F$48,Assumptions!$F$52)</f>
        <v>2468118.0760010094</v>
      </c>
      <c r="Q23" s="151">
        <f ca="1">+Q22*AVERAGE(Assumptions!$F$63,Assumptions!$F$67,Assumptions!$F$71,Assumptions!$F$75,Assumptions!$F$79)/AVERAGE(Assumptions!$F$36,Assumptions!$F$40,Assumptions!$F$44,Assumptions!$F$48,Assumptions!$F$52)</f>
        <v>2450605.759680979</v>
      </c>
      <c r="R23" s="151">
        <f ca="1">+R22*AVERAGE(Assumptions!$F$63,Assumptions!$F$67,Assumptions!$F$71,Assumptions!$F$75,Assumptions!$F$79)/AVERAGE(Assumptions!$F$36,Assumptions!$F$40,Assumptions!$F$44,Assumptions!$F$48,Assumptions!$F$52)</f>
        <v>2425598.9462511772</v>
      </c>
      <c r="S23" s="151">
        <f ca="1">+S22*AVERAGE(Assumptions!$F$63,Assumptions!$F$67,Assumptions!$F$71,Assumptions!$F$75,Assumptions!$F$79)/AVERAGE(Assumptions!$F$36,Assumptions!$F$40,Assumptions!$F$44,Assumptions!$F$48,Assumptions!$F$52)</f>
        <v>2398335.2060945919</v>
      </c>
      <c r="T23" s="151">
        <f ca="1">+T22*AVERAGE(Assumptions!$F$63,Assumptions!$F$67,Assumptions!$F$71,Assumptions!$F$75,Assumptions!$F$79)/AVERAGE(Assumptions!$F$36,Assumptions!$F$40,Assumptions!$F$44,Assumptions!$F$48,Assumptions!$F$52)</f>
        <v>2372657.0271739536</v>
      </c>
      <c r="U23" s="151">
        <f ca="1">+U22*AVERAGE(Assumptions!$F$63,Assumptions!$F$67,Assumptions!$F$71,Assumptions!$F$75,Assumptions!$F$79)/AVERAGE(Assumptions!$F$36,Assumptions!$F$40,Assumptions!$F$44,Assumptions!$F$48,Assumptions!$F$52)</f>
        <v>2339014.4625073941</v>
      </c>
      <c r="V23" s="151">
        <f ca="1">+V22*AVERAGE(Assumptions!$F$63,Assumptions!$F$67,Assumptions!$F$71,Assumptions!$F$75,Assumptions!$F$79)/AVERAGE(Assumptions!$F$36,Assumptions!$F$40,Assumptions!$F$44,Assumptions!$F$48,Assumptions!$F$52)</f>
        <v>2302738.5233206213</v>
      </c>
      <c r="W23" s="151">
        <f ca="1">+W22*AVERAGE(Assumptions!$F$63,Assumptions!$F$67,Assumptions!$F$71,Assumptions!$F$75,Assumptions!$F$79)/AVERAGE(Assumptions!$F$36,Assumptions!$F$40,Assumptions!$F$44,Assumptions!$F$48,Assumptions!$F$52)</f>
        <v>2267736.8632416618</v>
      </c>
      <c r="X23" s="151">
        <f ca="1">+X22*AVERAGE(Assumptions!$F$63,Assumptions!$F$67,Assumptions!$F$71,Assumptions!$F$75,Assumptions!$F$79)/AVERAGE(Assumptions!$F$36,Assumptions!$F$40,Assumptions!$F$44,Assumptions!$F$48,Assumptions!$F$52)</f>
        <v>2224256.4668358993</v>
      </c>
      <c r="Y23" s="151">
        <f ca="1">+Y22*AVERAGE(Assumptions!$F$63,Assumptions!$F$67,Assumptions!$F$71,Assumptions!$F$75,Assumptions!$F$79)/AVERAGE(Assumptions!$F$36,Assumptions!$F$40,Assumptions!$F$44,Assumptions!$F$48,Assumptions!$F$52)</f>
        <v>2177722.4983608089</v>
      </c>
      <c r="Z23" s="151">
        <f ca="1">+Z22*AVERAGE(Assumptions!$F$63,Assumptions!$F$67,Assumptions!$F$71,Assumptions!$F$75,Assumptions!$F$79)/AVERAGE(Assumptions!$F$36,Assumptions!$F$40,Assumptions!$F$44,Assumptions!$F$48,Assumptions!$F$52)</f>
        <v>2132107.8870023084</v>
      </c>
      <c r="AA23" s="151">
        <f ca="1">+AA22*AVERAGE(Assumptions!$F$63,Assumptions!$F$67,Assumptions!$F$71,Assumptions!$F$75,Assumptions!$F$79)/AVERAGE(Assumptions!$F$36,Assumptions!$F$40,Assumptions!$F$44,Assumptions!$F$48,Assumptions!$F$52)</f>
        <v>2077451.2561447206</v>
      </c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AF133"/>
  <sheetViews>
    <sheetView tabSelected="1" view="pageBreakPreview" zoomScale="55" zoomScaleNormal="80" zoomScaleSheetLayoutView="55" workbookViewId="0">
      <selection activeCell="B20" sqref="B20"/>
    </sheetView>
  </sheetViews>
  <sheetFormatPr defaultColWidth="10.81640625" defaultRowHeight="12.5" x14ac:dyDescent="0.25"/>
  <cols>
    <col min="1" max="1" width="2.81640625" style="568" customWidth="1"/>
    <col min="2" max="2" width="44" style="568" bestFit="1" customWidth="1"/>
    <col min="3" max="3" width="2.81640625" style="568" customWidth="1"/>
    <col min="4" max="4" width="17.81640625" style="568" customWidth="1"/>
    <col min="5" max="5" width="12.453125" style="568" bestFit="1" customWidth="1"/>
    <col min="6" max="8" width="15" style="568" bestFit="1" customWidth="1"/>
    <col min="9" max="9" width="1.1796875" style="568" customWidth="1"/>
    <col min="10" max="10" width="1.453125" style="568" customWidth="1"/>
    <col min="11" max="11" width="1.81640625" style="568" customWidth="1"/>
    <col min="12" max="12" width="43" style="568" customWidth="1"/>
    <col min="13" max="13" width="3.453125" style="568" customWidth="1"/>
    <col min="14" max="14" width="2.453125" style="568" customWidth="1"/>
    <col min="15" max="15" width="19.36328125" style="568" customWidth="1"/>
    <col min="16" max="16" width="16.1796875" style="568" customWidth="1"/>
    <col min="17" max="17" width="7.1796875" style="568" bestFit="1" customWidth="1"/>
    <col min="18" max="18" width="16.1796875" style="568" customWidth="1"/>
    <col min="19" max="19" width="7.1796875" style="568" bestFit="1" customWidth="1"/>
    <col min="20" max="20" width="16.1796875" style="568" customWidth="1"/>
    <col min="21" max="21" width="7.6328125" style="568" customWidth="1"/>
    <col min="22" max="22" width="3.81640625" style="568" customWidth="1"/>
    <col min="23" max="16384" width="10.81640625" style="568"/>
  </cols>
  <sheetData>
    <row r="1" spans="2:21" ht="96" customHeight="1" x14ac:dyDescent="0.25"/>
    <row r="2" spans="2:21" ht="19" customHeight="1" x14ac:dyDescent="0.35">
      <c r="B2" s="319" t="s">
        <v>742</v>
      </c>
    </row>
    <row r="3" spans="2:21" ht="19" customHeight="1" x14ac:dyDescent="0.25"/>
    <row r="4" spans="2:21" ht="19" customHeight="1" x14ac:dyDescent="0.35">
      <c r="B4" s="565" t="s">
        <v>696</v>
      </c>
      <c r="C4" s="566"/>
      <c r="D4" s="566"/>
      <c r="E4" s="566"/>
      <c r="F4" s="796" t="s">
        <v>245</v>
      </c>
      <c r="G4" s="796"/>
      <c r="H4" s="797"/>
      <c r="I4" s="567"/>
      <c r="J4" s="567"/>
      <c r="L4" s="565" t="s">
        <v>697</v>
      </c>
      <c r="M4" s="566"/>
      <c r="N4" s="566"/>
      <c r="O4" s="566"/>
      <c r="P4" s="796" t="s">
        <v>245</v>
      </c>
      <c r="Q4" s="796"/>
      <c r="R4" s="796"/>
      <c r="S4" s="796"/>
      <c r="T4" s="796"/>
      <c r="U4" s="569"/>
    </row>
    <row r="5" spans="2:21" ht="19" customHeight="1" x14ac:dyDescent="0.35">
      <c r="B5" s="570"/>
      <c r="C5" s="571"/>
      <c r="D5" s="571"/>
      <c r="E5" s="571"/>
      <c r="F5" s="572" t="s">
        <v>205</v>
      </c>
      <c r="G5" s="572" t="s">
        <v>243</v>
      </c>
      <c r="H5" s="573" t="s">
        <v>244</v>
      </c>
      <c r="I5" s="574"/>
      <c r="J5" s="574"/>
      <c r="L5" s="570"/>
      <c r="M5" s="571"/>
      <c r="N5" s="571"/>
      <c r="O5" s="572" t="s">
        <v>17</v>
      </c>
      <c r="P5" s="572" t="s">
        <v>205</v>
      </c>
      <c r="Q5" s="572"/>
      <c r="R5" s="572" t="s">
        <v>243</v>
      </c>
      <c r="S5" s="572"/>
      <c r="T5" s="572" t="s">
        <v>244</v>
      </c>
      <c r="U5" s="573"/>
    </row>
    <row r="6" spans="2:21" ht="19" customHeight="1" x14ac:dyDescent="0.25">
      <c r="B6" s="575" t="s">
        <v>105</v>
      </c>
      <c r="C6" s="567"/>
      <c r="D6" s="567"/>
      <c r="E6" s="576"/>
      <c r="F6" s="576">
        <f>Assumptions!F22</f>
        <v>44196</v>
      </c>
      <c r="G6" s="576">
        <f>Assumptions!G22</f>
        <v>44926</v>
      </c>
      <c r="H6" s="577">
        <f>Assumptions!H22</f>
        <v>45657</v>
      </c>
      <c r="I6" s="578"/>
      <c r="J6" s="578"/>
      <c r="L6" s="579" t="str">
        <f>Assumptions!B7</f>
        <v>Project (Unlevered) Returns</v>
      </c>
      <c r="M6" s="580"/>
      <c r="N6" s="580"/>
      <c r="O6" s="580"/>
      <c r="P6" s="581"/>
      <c r="Q6" s="581"/>
      <c r="R6" s="581"/>
      <c r="S6" s="581"/>
      <c r="T6" s="581"/>
      <c r="U6" s="582"/>
    </row>
    <row r="7" spans="2:21" ht="19" customHeight="1" x14ac:dyDescent="0.25">
      <c r="B7" s="575" t="s">
        <v>107</v>
      </c>
      <c r="C7" s="567"/>
      <c r="D7" s="583"/>
      <c r="E7" s="567"/>
      <c r="F7" s="576">
        <f>Assumptions!F24</f>
        <v>44561</v>
      </c>
      <c r="G7" s="576">
        <f>Assumptions!G24</f>
        <v>45291</v>
      </c>
      <c r="H7" s="577">
        <f>Assumptions!H24</f>
        <v>46022</v>
      </c>
      <c r="I7" s="576"/>
      <c r="J7" s="576"/>
      <c r="L7" s="584" t="str">
        <f>Assumptions!B8</f>
        <v>Total Cost less Subsidies</v>
      </c>
      <c r="M7" s="585"/>
      <c r="N7" s="585"/>
      <c r="O7" s="586">
        <f ca="1">+SUM(P7:T7)</f>
        <v>786382032.05691695</v>
      </c>
      <c r="P7" s="586">
        <f ca="1">Assumptions!E8</f>
        <v>303945827.1925959</v>
      </c>
      <c r="Q7" s="586"/>
      <c r="R7" s="586">
        <f ca="1">Assumptions!M8</f>
        <v>169326058.76777136</v>
      </c>
      <c r="S7" s="586"/>
      <c r="T7" s="586">
        <f ca="1">Assumptions!U8</f>
        <v>313110146.09654963</v>
      </c>
      <c r="U7" s="587"/>
    </row>
    <row r="8" spans="2:21" ht="19" customHeight="1" x14ac:dyDescent="0.25">
      <c r="B8" s="575" t="s">
        <v>109</v>
      </c>
      <c r="C8" s="567"/>
      <c r="D8" s="567"/>
      <c r="E8" s="567"/>
      <c r="F8" s="576">
        <f>Assumptions!F26</f>
        <v>45291</v>
      </c>
      <c r="G8" s="576">
        <f>Assumptions!G26</f>
        <v>46022</v>
      </c>
      <c r="H8" s="577">
        <f>Assumptions!H26</f>
        <v>46752</v>
      </c>
      <c r="I8" s="576"/>
      <c r="J8" s="576"/>
      <c r="L8" s="588" t="s">
        <v>326</v>
      </c>
      <c r="M8" s="583"/>
      <c r="N8" s="583"/>
      <c r="O8" s="589">
        <f ca="1">+SUM(P8:T8)</f>
        <v>1080780888.042721</v>
      </c>
      <c r="P8" s="589">
        <f ca="1">Assumptions!E9</f>
        <v>412428286.77958107</v>
      </c>
      <c r="Q8" s="589"/>
      <c r="R8" s="589">
        <f ca="1">Assumptions!M9</f>
        <v>239095231.09056804</v>
      </c>
      <c r="S8" s="589"/>
      <c r="T8" s="589">
        <f ca="1">Assumptions!U9</f>
        <v>429257370.17257202</v>
      </c>
      <c r="U8" s="590"/>
    </row>
    <row r="9" spans="2:21" ht="19" customHeight="1" x14ac:dyDescent="0.25">
      <c r="B9" s="575" t="s">
        <v>111</v>
      </c>
      <c r="C9" s="567"/>
      <c r="D9" s="567"/>
      <c r="E9" s="567"/>
      <c r="F9" s="576">
        <f>Assumptions!F28</f>
        <v>46022</v>
      </c>
      <c r="G9" s="576">
        <f>Assumptions!G28</f>
        <v>46752</v>
      </c>
      <c r="H9" s="577">
        <f>Assumptions!H28</f>
        <v>47483</v>
      </c>
      <c r="I9" s="576"/>
      <c r="J9" s="576"/>
      <c r="L9" s="584" t="str">
        <f>Assumptions!B10</f>
        <v>Yield-to-Cost</v>
      </c>
      <c r="M9" s="585"/>
      <c r="N9" s="585"/>
      <c r="O9" s="591">
        <f ca="1">+'Loan Sizing'!$E$62/O7</f>
        <v>8.5199012343687805E-2</v>
      </c>
      <c r="P9" s="591">
        <f ca="1">Assumptions!E10</f>
        <v>8.5272509059083831E-2</v>
      </c>
      <c r="Q9" s="591"/>
      <c r="R9" s="591">
        <f ca="1">Assumptions!M10</f>
        <v>8.8108748780657956E-2</v>
      </c>
      <c r="S9" s="591"/>
      <c r="T9" s="591">
        <f ca="1">Assumptions!U10</f>
        <v>8.3554117633941508E-2</v>
      </c>
      <c r="U9" s="592"/>
    </row>
    <row r="10" spans="2:21" ht="19" customHeight="1" x14ac:dyDescent="0.25">
      <c r="B10" s="593" t="s">
        <v>113</v>
      </c>
      <c r="C10" s="594"/>
      <c r="D10" s="594"/>
      <c r="E10" s="594"/>
      <c r="F10" s="595">
        <f>Assumptions!F30</f>
        <v>47848</v>
      </c>
      <c r="G10" s="595">
        <f>Assumptions!G30</f>
        <v>47848</v>
      </c>
      <c r="H10" s="596">
        <f>Assumptions!H30</f>
        <v>47848</v>
      </c>
      <c r="I10" s="576"/>
      <c r="J10" s="576"/>
      <c r="L10" s="593" t="str">
        <f>Assumptions!B11</f>
        <v>Blended Exit Cap</v>
      </c>
      <c r="M10" s="594"/>
      <c r="N10" s="594"/>
      <c r="O10" s="597">
        <f ca="1">+'Loan Sizing'!$E$62/$O$8</f>
        <v>6.1991263166584827E-2</v>
      </c>
      <c r="P10" s="597">
        <f ca="1">Assumptions!E11</f>
        <v>6.2842981758433905E-2</v>
      </c>
      <c r="Q10" s="597"/>
      <c r="R10" s="597">
        <f ca="1">Assumptions!M11</f>
        <v>6.2398179612111179E-2</v>
      </c>
      <c r="S10" s="597"/>
      <c r="T10" s="597">
        <f ca="1">Assumptions!U11</f>
        <v>6.0946284903190123E-2</v>
      </c>
      <c r="U10" s="598"/>
    </row>
    <row r="11" spans="2:21" ht="19" customHeight="1" x14ac:dyDescent="0.25">
      <c r="B11" s="583"/>
      <c r="C11" s="583"/>
      <c r="D11" s="583"/>
      <c r="E11" s="599"/>
      <c r="F11" s="600"/>
      <c r="G11" s="600"/>
      <c r="H11" s="600"/>
      <c r="I11" s="576"/>
      <c r="J11" s="576"/>
      <c r="L11" s="579" t="str">
        <f>Assumptions!B13</f>
        <v>Equity Returns</v>
      </c>
      <c r="M11" s="580"/>
      <c r="N11" s="580"/>
      <c r="O11" s="580"/>
      <c r="P11" s="583"/>
      <c r="Q11" s="583"/>
      <c r="R11" s="583"/>
      <c r="S11" s="583"/>
      <c r="T11" s="583"/>
      <c r="U11" s="601"/>
    </row>
    <row r="12" spans="2:21" ht="19" customHeight="1" x14ac:dyDescent="0.35">
      <c r="B12" s="565" t="s">
        <v>698</v>
      </c>
      <c r="C12" s="566"/>
      <c r="D12" s="794" t="s">
        <v>699</v>
      </c>
      <c r="E12" s="566"/>
      <c r="F12" s="796" t="s">
        <v>245</v>
      </c>
      <c r="G12" s="796"/>
      <c r="H12" s="797"/>
      <c r="L12" s="588" t="str">
        <f>Assumptions!B15</f>
        <v>Unlevered IRR</v>
      </c>
      <c r="M12" s="583"/>
      <c r="N12" s="583"/>
      <c r="O12" s="604">
        <f ca="1">+Assumptions!E4</f>
        <v>0.13026177012390683</v>
      </c>
      <c r="P12" s="604">
        <f ca="1">Assumptions!E15</f>
        <v>0.11972944419183973</v>
      </c>
      <c r="Q12" s="604"/>
      <c r="R12" s="604">
        <f ca="1">Assumptions!M15</f>
        <v>0.13786783674743441</v>
      </c>
      <c r="S12" s="604"/>
      <c r="T12" s="604">
        <f ca="1">Assumptions!U15</f>
        <v>0.14871588484395204</v>
      </c>
      <c r="U12" s="605"/>
    </row>
    <row r="13" spans="2:21" ht="19" customHeight="1" x14ac:dyDescent="0.35">
      <c r="B13" s="570"/>
      <c r="C13" s="571"/>
      <c r="D13" s="795"/>
      <c r="E13" s="602" t="s">
        <v>17</v>
      </c>
      <c r="F13" s="602" t="s">
        <v>205</v>
      </c>
      <c r="G13" s="602" t="s">
        <v>243</v>
      </c>
      <c r="H13" s="603" t="s">
        <v>244</v>
      </c>
      <c r="I13" s="567"/>
      <c r="J13" s="567"/>
      <c r="L13" s="588" t="s">
        <v>755</v>
      </c>
      <c r="M13" s="583"/>
      <c r="N13" s="583"/>
      <c r="O13" s="604">
        <f ca="1">+Assumptions!E3</f>
        <v>0.22324328826435935</v>
      </c>
      <c r="P13" s="604">
        <f ca="1">Assumptions!E14</f>
        <v>0.20216207550226173</v>
      </c>
      <c r="Q13" s="604"/>
      <c r="R13" s="604">
        <f ca="1">Assumptions!M14</f>
        <v>0.25394836654862751</v>
      </c>
      <c r="S13" s="604"/>
      <c r="T13" s="604">
        <f ca="1">Assumptions!U14</f>
        <v>0.25261779574553245</v>
      </c>
      <c r="U13" s="605"/>
    </row>
    <row r="14" spans="2:21" ht="19" customHeight="1" x14ac:dyDescent="0.25">
      <c r="B14" s="606" t="s">
        <v>700</v>
      </c>
      <c r="C14" s="567"/>
      <c r="D14" s="567"/>
      <c r="E14" s="599"/>
      <c r="F14" s="600"/>
      <c r="G14" s="600"/>
      <c r="H14" s="607"/>
      <c r="I14" s="600"/>
      <c r="J14" s="600"/>
      <c r="L14" s="588" t="s">
        <v>754</v>
      </c>
      <c r="M14" s="583"/>
      <c r="N14" s="583"/>
      <c r="O14" s="604">
        <f ca="1">+Assumptions!$M$3</f>
        <v>0.30439856080056821</v>
      </c>
      <c r="P14" s="604">
        <f ca="1">+Assumptions!E16</f>
        <v>0.29690186695228693</v>
      </c>
      <c r="Q14" s="604"/>
      <c r="R14" s="604">
        <f ca="1">+Assumptions!M16</f>
        <v>0.32970544661755091</v>
      </c>
      <c r="S14" s="604"/>
      <c r="T14" s="604">
        <f ca="1">+Assumptions!U16</f>
        <v>0.30491617202346166</v>
      </c>
      <c r="U14" s="605"/>
    </row>
    <row r="15" spans="2:21" ht="19" customHeight="1" x14ac:dyDescent="0.25">
      <c r="B15" s="608" t="s">
        <v>115</v>
      </c>
      <c r="C15" s="567"/>
      <c r="D15" s="609">
        <f>Assumptions!E62</f>
        <v>550</v>
      </c>
      <c r="E15" s="599">
        <f>SUM(F15:H15)</f>
        <v>1005.9685886030237</v>
      </c>
      <c r="F15" s="600">
        <f>VLOOKUP(B15,Assumptions!$B$61:$H$80,5,FALSE)</f>
        <v>397.56940050698711</v>
      </c>
      <c r="G15" s="600">
        <f>VLOOKUP(B15,Assumptions!$B$61:$H$80,6,FALSE)</f>
        <v>276.17243636363639</v>
      </c>
      <c r="H15" s="607">
        <f>VLOOKUP(B15,Assumptions!$B$61:$H$80,7,FALSE)</f>
        <v>332.2267517324002</v>
      </c>
      <c r="I15" s="600"/>
      <c r="J15" s="600"/>
      <c r="L15" s="593" t="str">
        <f>Assumptions!B18</f>
        <v>Equity Multiple</v>
      </c>
      <c r="M15" s="594"/>
      <c r="N15" s="594"/>
      <c r="O15" s="610">
        <f ca="1">+SUM('Phase I Pro Forma'!D308,'Phase II Pro Forma'!D308,'Phase III Pro Forma'!D308)/-SUM('Phase I Pro Forma'!D307,'Phase II Pro Forma'!D307,'Phase III Pro Forma'!D307)</f>
        <v>3.7960102470333728</v>
      </c>
      <c r="P15" s="610">
        <f ca="1">Assumptions!E18</f>
        <v>4.4608843538515446</v>
      </c>
      <c r="Q15" s="610"/>
      <c r="R15" s="610">
        <f ca="1">Assumptions!M18</f>
        <v>4.1056338439956797</v>
      </c>
      <c r="S15" s="610"/>
      <c r="T15" s="610">
        <f ca="1">Assumptions!U18</f>
        <v>3.095962937355611</v>
      </c>
      <c r="U15" s="611"/>
    </row>
    <row r="16" spans="2:21" ht="19" customHeight="1" x14ac:dyDescent="0.25">
      <c r="B16" s="608" t="s">
        <v>123</v>
      </c>
      <c r="C16" s="567"/>
      <c r="D16" s="609">
        <f>Assumptions!E66</f>
        <v>750</v>
      </c>
      <c r="E16" s="599">
        <f t="shared" ref="E16:E26" si="0">SUM(F16:H16)</f>
        <v>295.08411932355364</v>
      </c>
      <c r="F16" s="600">
        <f>VLOOKUP(B16,Assumptions!$B$61:$H$80,5,FALSE)</f>
        <v>116.62035748204956</v>
      </c>
      <c r="G16" s="600">
        <f>VLOOKUP(B16,Assumptions!$B$61:$H$80,6,FALSE)</f>
        <v>81.010581333333349</v>
      </c>
      <c r="H16" s="607">
        <f>VLOOKUP(B16,Assumptions!$B$61:$H$80,7,FALSE)</f>
        <v>97.453180508170718</v>
      </c>
      <c r="I16" s="600"/>
      <c r="J16" s="600"/>
    </row>
    <row r="17" spans="2:21" ht="19" customHeight="1" x14ac:dyDescent="0.35">
      <c r="B17" s="608" t="s">
        <v>127</v>
      </c>
      <c r="C17" s="567"/>
      <c r="D17" s="609">
        <f>Assumptions!E70</f>
        <v>1100</v>
      </c>
      <c r="E17" s="599">
        <f t="shared" si="0"/>
        <v>100.59685886030238</v>
      </c>
      <c r="F17" s="600">
        <f>VLOOKUP(B17,Assumptions!$B$61:$H$80,5,FALSE)</f>
        <v>39.756940050698709</v>
      </c>
      <c r="G17" s="600">
        <f>VLOOKUP(B17,Assumptions!$B$61:$H$80,6,FALSE)</f>
        <v>27.617243636363643</v>
      </c>
      <c r="H17" s="607">
        <f>VLOOKUP(B17,Assumptions!$B$61:$H$80,7,FALSE)</f>
        <v>33.22267517324002</v>
      </c>
      <c r="I17" s="600"/>
      <c r="J17" s="600"/>
      <c r="L17" s="565" t="s">
        <v>701</v>
      </c>
      <c r="M17" s="566"/>
      <c r="N17" s="566"/>
      <c r="O17" s="566"/>
      <c r="P17" s="796" t="s">
        <v>245</v>
      </c>
      <c r="Q17" s="796"/>
      <c r="R17" s="796"/>
      <c r="S17" s="796"/>
      <c r="T17" s="796"/>
      <c r="U17" s="569"/>
    </row>
    <row r="18" spans="2:21" ht="19" customHeight="1" x14ac:dyDescent="0.35">
      <c r="B18" s="608" t="s">
        <v>132</v>
      </c>
      <c r="C18" s="567"/>
      <c r="D18" s="609">
        <f>Assumptions!E74</f>
        <v>1500</v>
      </c>
      <c r="E18" s="599">
        <f t="shared" si="0"/>
        <v>36.885514915444205</v>
      </c>
      <c r="F18" s="600">
        <f>VLOOKUP(B18,Assumptions!$B$61:$H$80,5,FALSE)</f>
        <v>14.577544685256195</v>
      </c>
      <c r="G18" s="600">
        <f>VLOOKUP(B18,Assumptions!$B$61:$H$80,6,FALSE)</f>
        <v>10.126322666666669</v>
      </c>
      <c r="H18" s="607">
        <f>VLOOKUP(B18,Assumptions!$B$61:$H$80,7,FALSE)</f>
        <v>12.18164756352134</v>
      </c>
      <c r="I18" s="600"/>
      <c r="J18" s="600"/>
      <c r="L18" s="570"/>
      <c r="M18" s="571"/>
      <c r="N18" s="571"/>
      <c r="O18" s="571"/>
      <c r="P18" s="572" t="s">
        <v>205</v>
      </c>
      <c r="Q18" s="572"/>
      <c r="R18" s="572" t="s">
        <v>243</v>
      </c>
      <c r="S18" s="572"/>
      <c r="T18" s="572" t="s">
        <v>244</v>
      </c>
      <c r="U18" s="573"/>
    </row>
    <row r="19" spans="2:21" ht="19" customHeight="1" x14ac:dyDescent="0.35">
      <c r="B19" s="608" t="s">
        <v>378</v>
      </c>
      <c r="C19" s="567"/>
      <c r="D19" s="609">
        <f>Assumptions!E78</f>
        <v>2200</v>
      </c>
      <c r="E19" s="599">
        <f t="shared" si="0"/>
        <v>75.447644145226775</v>
      </c>
      <c r="F19" s="600">
        <f>VLOOKUP(B19,Assumptions!$B$61:$H$80,5,FALSE)</f>
        <v>29.81770503802403</v>
      </c>
      <c r="G19" s="600">
        <f>VLOOKUP(B19,Assumptions!$B$61:$H$80,6,FALSE)</f>
        <v>20.712932727272729</v>
      </c>
      <c r="H19" s="607">
        <f>VLOOKUP(B19,Assumptions!$B$61:$H$80,7,FALSE)</f>
        <v>24.917006379930015</v>
      </c>
      <c r="I19" s="600"/>
      <c r="J19" s="600"/>
      <c r="L19" s="612" t="s">
        <v>267</v>
      </c>
      <c r="M19" s="613"/>
      <c r="N19" s="613"/>
      <c r="O19" s="613"/>
      <c r="P19" s="613"/>
      <c r="Q19" s="613"/>
      <c r="R19" s="613"/>
      <c r="S19" s="613"/>
      <c r="T19" s="613"/>
      <c r="U19" s="614"/>
    </row>
    <row r="20" spans="2:21" ht="19" customHeight="1" x14ac:dyDescent="0.35">
      <c r="B20" s="615" t="s">
        <v>551</v>
      </c>
      <c r="C20" s="616"/>
      <c r="D20" s="616"/>
      <c r="E20" s="617">
        <f>SUM(E15:E19)</f>
        <v>1513.9827258475507</v>
      </c>
      <c r="F20" s="618">
        <f t="shared" ref="F20:H20" si="1">SUM(F15:F19)</f>
        <v>598.3419477630157</v>
      </c>
      <c r="G20" s="618">
        <f t="shared" si="1"/>
        <v>415.63951672727279</v>
      </c>
      <c r="H20" s="619">
        <f t="shared" si="1"/>
        <v>500.00126135726225</v>
      </c>
      <c r="I20" s="600"/>
      <c r="J20" s="600"/>
      <c r="L20" s="620" t="s">
        <v>757</v>
      </c>
      <c r="M20" s="613"/>
      <c r="N20" s="613"/>
      <c r="O20" s="613"/>
      <c r="P20" s="621">
        <f>Assumptions!N151</f>
        <v>6.5000000000000002E-2</v>
      </c>
      <c r="Q20" s="621"/>
      <c r="R20" s="621">
        <f>Assumptions!O151</f>
        <v>6.5000000000000002E-2</v>
      </c>
      <c r="S20" s="621"/>
      <c r="T20" s="621">
        <f>Assumptions!P151</f>
        <v>6.5000000000000002E-2</v>
      </c>
      <c r="U20" s="622"/>
    </row>
    <row r="21" spans="2:21" ht="19" customHeight="1" x14ac:dyDescent="0.35">
      <c r="B21" s="606" t="s">
        <v>702</v>
      </c>
      <c r="C21" s="583"/>
      <c r="D21" s="583"/>
      <c r="E21" s="599"/>
      <c r="F21" s="600"/>
      <c r="G21" s="600"/>
      <c r="H21" s="607"/>
      <c r="I21" s="600"/>
      <c r="J21" s="600"/>
      <c r="L21" s="620" t="s">
        <v>771</v>
      </c>
      <c r="M21" s="613"/>
      <c r="N21" s="613"/>
      <c r="O21" s="613"/>
      <c r="P21" s="623">
        <f ca="1">SUM('Loan Sizing'!F15:F20)</f>
        <v>20415119.392887935</v>
      </c>
      <c r="Q21" s="623"/>
      <c r="R21" s="623">
        <f ca="1">SUM('Loan Sizing'!G15:G20)</f>
        <v>11403435.46482981</v>
      </c>
      <c r="S21" s="623"/>
      <c r="T21" s="623">
        <f ca="1">SUM('Loan Sizing'!H15:H20)</f>
        <v>22752875.065934878</v>
      </c>
      <c r="U21" s="624"/>
    </row>
    <row r="22" spans="2:21" ht="19" customHeight="1" x14ac:dyDescent="0.35">
      <c r="B22" s="608" t="str">
        <f>B15</f>
        <v>Studio Units</v>
      </c>
      <c r="C22" s="581"/>
      <c r="D22" s="609">
        <f>D15</f>
        <v>550</v>
      </c>
      <c r="E22" s="599">
        <f t="shared" si="0"/>
        <v>251.49214715075593</v>
      </c>
      <c r="F22" s="600">
        <f>VLOOKUP($B22,Assumptions!$B$34:$H$58,5,FALSE)</f>
        <v>99.392350126746777</v>
      </c>
      <c r="G22" s="600">
        <f>VLOOKUP($B22,Assumptions!$B$34:$H$58,6,FALSE)</f>
        <v>69.043109090909098</v>
      </c>
      <c r="H22" s="607">
        <f>VLOOKUP($B22,Assumptions!$B$34:$H$58,7,FALSE)</f>
        <v>83.056687933100051</v>
      </c>
      <c r="I22" s="600"/>
      <c r="J22" s="600"/>
      <c r="L22" s="620" t="s">
        <v>772</v>
      </c>
      <c r="M22" s="613"/>
      <c r="N22" s="613"/>
      <c r="O22" s="613"/>
      <c r="P22" s="623">
        <f ca="1">SUM('Loan Sizing'!F5:F10)</f>
        <v>335563095.44410574</v>
      </c>
      <c r="Q22" s="623"/>
      <c r="R22" s="623">
        <f ca="1">SUM('Loan Sizing'!G5:G10)</f>
        <v>190853874.12969497</v>
      </c>
      <c r="S22" s="623"/>
      <c r="T22" s="623">
        <f ca="1">SUM('Loan Sizing'!H5:H10)</f>
        <v>369581352.46073335</v>
      </c>
      <c r="U22" s="624"/>
    </row>
    <row r="23" spans="2:21" ht="19" customHeight="1" x14ac:dyDescent="0.35">
      <c r="B23" s="608" t="str">
        <f>B16</f>
        <v>1-BR Units</v>
      </c>
      <c r="C23" s="581"/>
      <c r="D23" s="609">
        <f t="shared" ref="D23:D26" si="2">D16</f>
        <v>750</v>
      </c>
      <c r="E23" s="599">
        <f t="shared" si="0"/>
        <v>73.771029830888409</v>
      </c>
      <c r="F23" s="600">
        <f>VLOOKUP($B23,Assumptions!$B$34:$H$58,5,FALSE)</f>
        <v>29.155089370512389</v>
      </c>
      <c r="G23" s="600">
        <f>VLOOKUP($B23,Assumptions!$B$34:$H$58,6,FALSE)</f>
        <v>20.252645333333337</v>
      </c>
      <c r="H23" s="607">
        <f>VLOOKUP($B23,Assumptions!$B$34:$H$58,7,FALSE)</f>
        <v>24.363295127042679</v>
      </c>
      <c r="I23" s="600"/>
      <c r="J23" s="600"/>
      <c r="L23" s="620" t="s">
        <v>703</v>
      </c>
      <c r="M23" s="613"/>
      <c r="N23" s="613"/>
      <c r="O23" s="613"/>
      <c r="P23" s="625">
        <f>'Loan Sizing'!F12</f>
        <v>0.65</v>
      </c>
      <c r="Q23" s="625"/>
      <c r="R23" s="625">
        <f>'Loan Sizing'!G12</f>
        <v>0.65</v>
      </c>
      <c r="S23" s="625"/>
      <c r="T23" s="625">
        <f>'Loan Sizing'!H12</f>
        <v>0.65</v>
      </c>
      <c r="U23" s="626"/>
    </row>
    <row r="24" spans="2:21" ht="19" customHeight="1" x14ac:dyDescent="0.35">
      <c r="B24" s="608" t="str">
        <f>B17</f>
        <v>2-BR Units</v>
      </c>
      <c r="C24" s="581"/>
      <c r="D24" s="609">
        <f t="shared" si="2"/>
        <v>1100</v>
      </c>
      <c r="E24" s="599">
        <f t="shared" si="0"/>
        <v>25.149214715075594</v>
      </c>
      <c r="F24" s="600">
        <f>VLOOKUP($B24,Assumptions!$B$34:$H$58,5,FALSE)</f>
        <v>9.9392350126746773</v>
      </c>
      <c r="G24" s="600">
        <f>VLOOKUP($B24,Assumptions!$B$34:$H$58,6,FALSE)</f>
        <v>6.9043109090909107</v>
      </c>
      <c r="H24" s="607">
        <f>VLOOKUP($B24,Assumptions!$B$34:$H$58,7,FALSE)</f>
        <v>8.3056687933100051</v>
      </c>
      <c r="I24" s="600"/>
      <c r="J24" s="600"/>
      <c r="L24" s="620" t="s">
        <v>704</v>
      </c>
      <c r="M24" s="613"/>
      <c r="N24" s="613"/>
      <c r="O24" s="613"/>
      <c r="P24" s="623">
        <f ca="1">'Loan Sizing'!F13</f>
        <v>218116012.03866875</v>
      </c>
      <c r="Q24" s="623"/>
      <c r="R24" s="623">
        <f ca="1">'Loan Sizing'!G13</f>
        <v>124055018.18430173</v>
      </c>
      <c r="S24" s="623"/>
      <c r="T24" s="623">
        <f ca="1">'Loan Sizing'!H13</f>
        <v>240227879.0994767</v>
      </c>
      <c r="U24" s="624"/>
    </row>
    <row r="25" spans="2:21" ht="19" customHeight="1" x14ac:dyDescent="0.35">
      <c r="B25" s="608" t="str">
        <f>B18</f>
        <v>3-BR Units</v>
      </c>
      <c r="C25" s="581"/>
      <c r="D25" s="609">
        <f t="shared" si="2"/>
        <v>1500</v>
      </c>
      <c r="E25" s="599">
        <f t="shared" si="0"/>
        <v>9.2213787288610511</v>
      </c>
      <c r="F25" s="600">
        <f>VLOOKUP($B25,Assumptions!$B$34:$H$58,5,FALSE)</f>
        <v>3.6443861713140486</v>
      </c>
      <c r="G25" s="600">
        <f>VLOOKUP($B25,Assumptions!$B$34:$H$58,6,FALSE)</f>
        <v>2.5315806666666671</v>
      </c>
      <c r="H25" s="607">
        <f>VLOOKUP($B25,Assumptions!$B$34:$H$58,7,FALSE)</f>
        <v>3.0454118908803349</v>
      </c>
      <c r="L25" s="620" t="s">
        <v>199</v>
      </c>
      <c r="M25" s="613"/>
      <c r="N25" s="613"/>
      <c r="O25" s="613"/>
      <c r="P25" s="735">
        <f>'Loan Sizing'!F22</f>
        <v>1.25</v>
      </c>
      <c r="Q25" s="735"/>
      <c r="R25" s="735">
        <f>'Loan Sizing'!G22</f>
        <v>1.25</v>
      </c>
      <c r="S25" s="735"/>
      <c r="T25" s="735">
        <f>'Loan Sizing'!H22</f>
        <v>1.25</v>
      </c>
      <c r="U25" s="614"/>
    </row>
    <row r="26" spans="2:21" ht="19" customHeight="1" x14ac:dyDescent="0.35">
      <c r="B26" s="608" t="str">
        <f>Assumptions!B50</f>
        <v>Live-Work Units (4-BR)</v>
      </c>
      <c r="C26" s="581"/>
      <c r="D26" s="609">
        <f t="shared" si="2"/>
        <v>2200</v>
      </c>
      <c r="E26" s="599">
        <f t="shared" si="0"/>
        <v>18.861911036306694</v>
      </c>
      <c r="F26" s="600">
        <f>VLOOKUP($B26,Assumptions!$B$34:$H$58,5,FALSE)</f>
        <v>7.4544262595060076</v>
      </c>
      <c r="G26" s="600">
        <f>VLOOKUP($B26,Assumptions!$B$34:$H$58,6,FALSE)</f>
        <v>5.1782331818181824</v>
      </c>
      <c r="H26" s="607">
        <f>VLOOKUP($B26,Assumptions!$B$34:$H$58,7,FALSE)</f>
        <v>6.2292515949825038</v>
      </c>
      <c r="J26" s="567"/>
      <c r="L26" s="620" t="s">
        <v>705</v>
      </c>
      <c r="M26" s="613"/>
      <c r="N26" s="613"/>
      <c r="O26" s="613"/>
      <c r="P26" s="623">
        <f ca="1">'Loan Sizing'!F26</f>
        <v>213275542.18726224</v>
      </c>
      <c r="Q26" s="623"/>
      <c r="R26" s="623">
        <f ca="1">'Loan Sizing'!G26</f>
        <v>119131014.3601854</v>
      </c>
      <c r="S26" s="623"/>
      <c r="T26" s="623">
        <f ca="1">'Loan Sizing'!H26</f>
        <v>237697937.13265392</v>
      </c>
      <c r="U26" s="624"/>
    </row>
    <row r="27" spans="2:21" ht="19" customHeight="1" x14ac:dyDescent="0.35">
      <c r="B27" s="615" t="s">
        <v>551</v>
      </c>
      <c r="C27" s="616"/>
      <c r="D27" s="616"/>
      <c r="E27" s="617">
        <f>SUM(E22:E26)</f>
        <v>378.49568146188767</v>
      </c>
      <c r="F27" s="618">
        <f t="shared" ref="F27:H27" si="3">SUM(F22:F26)</f>
        <v>149.58548694075392</v>
      </c>
      <c r="G27" s="618">
        <f t="shared" si="3"/>
        <v>103.9098791818182</v>
      </c>
      <c r="H27" s="619">
        <f t="shared" si="3"/>
        <v>125.00031533931556</v>
      </c>
      <c r="J27" s="627"/>
      <c r="L27" s="620"/>
      <c r="M27" s="613"/>
      <c r="N27" s="613"/>
      <c r="O27" s="613"/>
      <c r="P27" s="623"/>
      <c r="Q27" s="623"/>
      <c r="R27" s="623"/>
      <c r="S27" s="623"/>
      <c r="T27" s="623"/>
      <c r="U27" s="624"/>
    </row>
    <row r="28" spans="2:21" ht="19" customHeight="1" x14ac:dyDescent="0.35">
      <c r="J28" s="600"/>
      <c r="L28" s="612" t="s">
        <v>167</v>
      </c>
      <c r="M28" s="613"/>
      <c r="N28" s="613"/>
      <c r="O28" s="613"/>
      <c r="P28" s="613"/>
      <c r="Q28" s="613"/>
      <c r="R28" s="613"/>
      <c r="S28" s="613"/>
      <c r="T28" s="613"/>
      <c r="U28" s="614"/>
    </row>
    <row r="29" spans="2:21" ht="19" customHeight="1" x14ac:dyDescent="0.35">
      <c r="B29" s="565" t="s">
        <v>706</v>
      </c>
      <c r="C29" s="566"/>
      <c r="D29" s="566"/>
      <c r="E29" s="566"/>
      <c r="F29" s="796" t="s">
        <v>245</v>
      </c>
      <c r="G29" s="796"/>
      <c r="H29" s="797"/>
      <c r="J29" s="628"/>
      <c r="L29" s="620" t="s">
        <v>758</v>
      </c>
      <c r="M29" s="613"/>
      <c r="N29" s="613"/>
      <c r="O29" s="613"/>
      <c r="P29" s="621">
        <f>'Loan Sizing'!F41</f>
        <v>0.06</v>
      </c>
      <c r="Q29" s="621"/>
      <c r="R29" s="621">
        <f>'Loan Sizing'!G41</f>
        <v>0.06</v>
      </c>
      <c r="S29" s="621"/>
      <c r="T29" s="621">
        <f>'Loan Sizing'!H41</f>
        <v>0.06</v>
      </c>
      <c r="U29" s="622"/>
    </row>
    <row r="30" spans="2:21" ht="19" customHeight="1" x14ac:dyDescent="0.35">
      <c r="B30" s="570"/>
      <c r="C30" s="571"/>
      <c r="D30" s="629"/>
      <c r="E30" s="602" t="s">
        <v>17</v>
      </c>
      <c r="F30" s="602" t="s">
        <v>205</v>
      </c>
      <c r="G30" s="602" t="s">
        <v>243</v>
      </c>
      <c r="H30" s="603" t="s">
        <v>244</v>
      </c>
      <c r="J30" s="628"/>
      <c r="L30" s="620" t="s">
        <v>775</v>
      </c>
      <c r="M30" s="613"/>
      <c r="N30" s="613"/>
      <c r="O30" s="613"/>
      <c r="P30" s="623">
        <f ca="1">'Loan Sizing'!F36</f>
        <v>5503103.9098521462</v>
      </c>
      <c r="Q30" s="623"/>
      <c r="R30" s="623">
        <f ca="1">'Loan Sizing'!G36</f>
        <v>3515671.7091469439</v>
      </c>
      <c r="S30" s="623"/>
      <c r="T30" s="623">
        <f ca="1">'Loan Sizing'!H36</f>
        <v>543973.38253181055</v>
      </c>
      <c r="U30" s="624"/>
    </row>
    <row r="31" spans="2:21" ht="19" customHeight="1" x14ac:dyDescent="0.35">
      <c r="B31" s="606" t="s">
        <v>25</v>
      </c>
      <c r="C31" s="581"/>
      <c r="D31" s="581"/>
      <c r="E31" s="581"/>
      <c r="F31" s="581"/>
      <c r="G31" s="581"/>
      <c r="H31" s="582"/>
      <c r="J31" s="630"/>
      <c r="L31" s="620" t="s">
        <v>776</v>
      </c>
      <c r="M31" s="613"/>
      <c r="N31" s="613"/>
      <c r="O31" s="613"/>
      <c r="P31" s="623">
        <f ca="1">'Loan Sizing'!F31</f>
        <v>76865191.335270256</v>
      </c>
      <c r="Q31" s="623"/>
      <c r="R31" s="623">
        <f ca="1">'Loan Sizing'!G31</f>
        <v>48241356.96065966</v>
      </c>
      <c r="S31" s="623"/>
      <c r="T31" s="623">
        <f ca="1">'Loan Sizing'!H31</f>
        <v>7588862.605201764</v>
      </c>
      <c r="U31" s="624"/>
    </row>
    <row r="32" spans="2:21" ht="19" customHeight="1" x14ac:dyDescent="0.35">
      <c r="B32" s="608" t="s">
        <v>760</v>
      </c>
      <c r="C32" s="581"/>
      <c r="D32" s="609"/>
      <c r="E32" s="599">
        <f t="shared" ref="E32" si="4">SUM(F32:H32)</f>
        <v>377397</v>
      </c>
      <c r="F32" s="600">
        <f>Assumptions!F125</f>
        <v>168300</v>
      </c>
      <c r="G32" s="600">
        <f>Assumptions!G125</f>
        <v>138600</v>
      </c>
      <c r="H32" s="607">
        <f>Assumptions!H125</f>
        <v>70497</v>
      </c>
      <c r="J32" s="628"/>
      <c r="L32" s="620" t="s">
        <v>703</v>
      </c>
      <c r="M32" s="613"/>
      <c r="N32" s="613"/>
      <c r="O32" s="613"/>
      <c r="P32" s="625">
        <f>'Loan Sizing'!F33</f>
        <v>0.8</v>
      </c>
      <c r="Q32" s="625"/>
      <c r="R32" s="625">
        <f>'Loan Sizing'!G33</f>
        <v>0.8</v>
      </c>
      <c r="S32" s="625"/>
      <c r="T32" s="625">
        <f>'Loan Sizing'!H33</f>
        <v>0.8</v>
      </c>
      <c r="U32" s="626"/>
    </row>
    <row r="33" spans="2:21" ht="19" customHeight="1" x14ac:dyDescent="0.35">
      <c r="B33" s="608" t="str">
        <f>Assumptions!B132</f>
        <v>Food Hall</v>
      </c>
      <c r="C33" s="581"/>
      <c r="D33" s="609"/>
      <c r="E33" s="599">
        <f>SUM(F33:H33)</f>
        <v>45900</v>
      </c>
      <c r="F33" s="600">
        <f>Assumptions!F133</f>
        <v>45900</v>
      </c>
      <c r="G33" s="600">
        <f>Assumptions!G133</f>
        <v>0</v>
      </c>
      <c r="H33" s="607">
        <f>Assumptions!H133</f>
        <v>0</v>
      </c>
      <c r="J33" s="628"/>
      <c r="L33" s="620" t="s">
        <v>704</v>
      </c>
      <c r="M33" s="613"/>
      <c r="N33" s="613"/>
      <c r="O33" s="613"/>
      <c r="P33" s="623">
        <f ca="1">'Loan Sizing'!F34</f>
        <v>61492153.068216205</v>
      </c>
      <c r="Q33" s="623"/>
      <c r="R33" s="623">
        <f ca="1">'Loan Sizing'!G34</f>
        <v>38593085.568527728</v>
      </c>
      <c r="S33" s="623"/>
      <c r="T33" s="623">
        <f ca="1">'Loan Sizing'!H34</f>
        <v>6071090.084161412</v>
      </c>
      <c r="U33" s="624"/>
    </row>
    <row r="34" spans="2:21" ht="19" customHeight="1" x14ac:dyDescent="0.35">
      <c r="B34" s="631" t="s">
        <v>551</v>
      </c>
      <c r="C34" s="632"/>
      <c r="D34" s="632"/>
      <c r="E34" s="633">
        <f>SUM(E32:E33)</f>
        <v>423297</v>
      </c>
      <c r="F34" s="634">
        <f>SUM(F32:F33)</f>
        <v>214200</v>
      </c>
      <c r="G34" s="634">
        <f t="shared" ref="G34:H34" si="5">SUM(G32:G33)</f>
        <v>138600</v>
      </c>
      <c r="H34" s="635">
        <f t="shared" si="5"/>
        <v>70497</v>
      </c>
      <c r="J34" s="628"/>
      <c r="L34" s="620" t="s">
        <v>199</v>
      </c>
      <c r="M34" s="613"/>
      <c r="N34" s="613"/>
      <c r="O34" s="613"/>
      <c r="P34" s="735">
        <f>'Loan Sizing'!F38</f>
        <v>1.3</v>
      </c>
      <c r="Q34" s="735"/>
      <c r="R34" s="735">
        <f>'Loan Sizing'!G38</f>
        <v>1.3</v>
      </c>
      <c r="S34" s="735"/>
      <c r="T34" s="735">
        <f>'Loan Sizing'!H38</f>
        <v>1.3</v>
      </c>
      <c r="U34" s="614"/>
    </row>
    <row r="35" spans="2:21" ht="19" customHeight="1" x14ac:dyDescent="0.35">
      <c r="B35" s="606" t="s">
        <v>148</v>
      </c>
      <c r="C35" s="581"/>
      <c r="D35" s="581"/>
      <c r="E35" s="599"/>
      <c r="F35" s="581"/>
      <c r="G35" s="581"/>
      <c r="H35" s="582"/>
      <c r="J35" s="628"/>
      <c r="L35" s="620" t="s">
        <v>705</v>
      </c>
      <c r="M35" s="613"/>
      <c r="N35" s="613"/>
      <c r="O35" s="613"/>
      <c r="P35" s="623">
        <f ca="1">'Loan Sizing'!F42</f>
        <v>70552614.22887367</v>
      </c>
      <c r="Q35" s="623"/>
      <c r="R35" s="623">
        <f ca="1">'Loan Sizing'!G42</f>
        <v>45072714.219832614</v>
      </c>
      <c r="S35" s="623"/>
      <c r="T35" s="623">
        <f ca="1">'Loan Sizing'!H42</f>
        <v>6974017.724766802</v>
      </c>
      <c r="U35" s="624"/>
    </row>
    <row r="36" spans="2:21" ht="19" customHeight="1" x14ac:dyDescent="0.35">
      <c r="B36" s="608" t="str">
        <f>Assumptions!B159</f>
        <v>Conventional Office</v>
      </c>
      <c r="C36" s="581"/>
      <c r="D36" s="609"/>
      <c r="E36" s="599">
        <f>SUM(F36:H36)</f>
        <v>1133974.8999999999</v>
      </c>
      <c r="F36" s="600">
        <f>Assumptions!F160</f>
        <v>410068.80000000005</v>
      </c>
      <c r="G36" s="600">
        <f>Assumptions!G160</f>
        <v>134937</v>
      </c>
      <c r="H36" s="607">
        <f>Assumptions!H160</f>
        <v>588969.09999999986</v>
      </c>
      <c r="J36" s="628"/>
      <c r="L36" s="620"/>
      <c r="M36" s="613"/>
      <c r="N36" s="613"/>
      <c r="O36" s="613"/>
      <c r="P36" s="623"/>
      <c r="Q36" s="623"/>
      <c r="R36" s="623"/>
      <c r="S36" s="623"/>
      <c r="T36" s="623"/>
      <c r="U36" s="624"/>
    </row>
    <row r="37" spans="2:21" ht="19" customHeight="1" x14ac:dyDescent="0.35">
      <c r="B37" s="631" t="s">
        <v>551</v>
      </c>
      <c r="C37" s="632"/>
      <c r="D37" s="632"/>
      <c r="E37" s="633">
        <f>SUM(E36)</f>
        <v>1133974.8999999999</v>
      </c>
      <c r="F37" s="634">
        <f>SUM(F36)</f>
        <v>410068.80000000005</v>
      </c>
      <c r="G37" s="634">
        <f t="shared" ref="G37:H37" si="6">SUM(G36)</f>
        <v>134937</v>
      </c>
      <c r="H37" s="635">
        <f t="shared" si="6"/>
        <v>588969.09999999986</v>
      </c>
      <c r="J37" s="628"/>
      <c r="L37" s="612" t="s">
        <v>265</v>
      </c>
      <c r="M37" s="613"/>
      <c r="N37" s="613"/>
      <c r="O37" s="613"/>
      <c r="P37" s="613"/>
      <c r="Q37" s="613"/>
      <c r="R37" s="613"/>
      <c r="S37" s="613"/>
      <c r="T37" s="613"/>
      <c r="U37" s="614"/>
    </row>
    <row r="38" spans="2:21" ht="19" customHeight="1" x14ac:dyDescent="0.35">
      <c r="B38" s="606" t="s">
        <v>707</v>
      </c>
      <c r="C38" s="581"/>
      <c r="D38" s="581"/>
      <c r="E38" s="599"/>
      <c r="F38" s="581"/>
      <c r="G38" s="581"/>
      <c r="H38" s="582"/>
      <c r="J38" s="628"/>
      <c r="L38" s="620" t="s">
        <v>758</v>
      </c>
      <c r="M38" s="613"/>
      <c r="N38" s="613"/>
      <c r="O38" s="613"/>
      <c r="P38" s="621">
        <f>'Loan Sizing'!F57</f>
        <v>5.5E-2</v>
      </c>
      <c r="Q38" s="621"/>
      <c r="R38" s="621">
        <f>'Loan Sizing'!G57</f>
        <v>5.5E-2</v>
      </c>
      <c r="S38" s="621"/>
      <c r="T38" s="621">
        <f>'Loan Sizing'!H57</f>
        <v>5.5E-2</v>
      </c>
      <c r="U38" s="622"/>
    </row>
    <row r="39" spans="2:21" ht="19" customHeight="1" x14ac:dyDescent="0.35">
      <c r="B39" s="608" t="s">
        <v>761</v>
      </c>
      <c r="C39" s="581"/>
      <c r="D39" s="609"/>
      <c r="E39" s="599">
        <f>SUM(F39:H39)</f>
        <v>234630.00000199999</v>
      </c>
      <c r="F39" s="600">
        <f>Assumptions!F210</f>
        <v>9.9999999999999995E-7</v>
      </c>
      <c r="G39" s="600">
        <f>Assumptions!G210</f>
        <v>9.9999999999999995E-7</v>
      </c>
      <c r="H39" s="607">
        <f>Assumptions!H210</f>
        <v>234630</v>
      </c>
      <c r="J39" s="628"/>
      <c r="L39" s="620" t="s">
        <v>774</v>
      </c>
      <c r="M39" s="613"/>
      <c r="N39" s="613"/>
      <c r="O39" s="613"/>
      <c r="P39" s="623">
        <f ca="1">'Loan Sizing'!F52</f>
        <v>1.1279999999999999E-5</v>
      </c>
      <c r="Q39" s="623"/>
      <c r="R39" s="623">
        <f ca="1">'Loan Sizing'!G52</f>
        <v>1.1735712E-5</v>
      </c>
      <c r="S39" s="623"/>
      <c r="T39" s="623">
        <f ca="1">'Loan Sizing'!H52</f>
        <v>2864793.5308650248</v>
      </c>
      <c r="U39" s="624"/>
    </row>
    <row r="40" spans="2:21" ht="19" customHeight="1" x14ac:dyDescent="0.35">
      <c r="B40" s="631" t="s">
        <v>551</v>
      </c>
      <c r="C40" s="632"/>
      <c r="D40" s="632"/>
      <c r="E40" s="633">
        <f>SUM(E39:E39)</f>
        <v>234630.00000199999</v>
      </c>
      <c r="F40" s="634">
        <f>SUM(F39:F39)</f>
        <v>9.9999999999999995E-7</v>
      </c>
      <c r="G40" s="634">
        <f>SUM(G39:G39)</f>
        <v>9.9999999999999995E-7</v>
      </c>
      <c r="H40" s="635">
        <f>SUM(H39:H39)</f>
        <v>234630</v>
      </c>
      <c r="J40" s="630"/>
      <c r="L40" s="620" t="s">
        <v>773</v>
      </c>
      <c r="M40" s="613"/>
      <c r="N40" s="613"/>
      <c r="O40" s="613"/>
      <c r="P40" s="623">
        <f ca="1">'Loan Sizing'!F47</f>
        <v>2.0509090909090905E-4</v>
      </c>
      <c r="Q40" s="623"/>
      <c r="R40" s="623">
        <f ca="1">'Loan Sizing'!G47</f>
        <v>2.1337658181818181E-4</v>
      </c>
      <c r="S40" s="623"/>
      <c r="T40" s="623">
        <f ca="1">'Loan Sizing'!H47</f>
        <v>52087155.106636815</v>
      </c>
      <c r="U40" s="624"/>
    </row>
    <row r="41" spans="2:21" ht="19" customHeight="1" x14ac:dyDescent="0.35">
      <c r="J41" s="628"/>
      <c r="L41" s="620" t="s">
        <v>703</v>
      </c>
      <c r="M41" s="613"/>
      <c r="N41" s="613"/>
      <c r="O41" s="613"/>
      <c r="P41" s="625">
        <f>'Loan Sizing'!F49</f>
        <v>0.75</v>
      </c>
      <c r="Q41" s="625"/>
      <c r="R41" s="625">
        <f>'Loan Sizing'!G49</f>
        <v>0.75</v>
      </c>
      <c r="S41" s="625"/>
      <c r="T41" s="625">
        <f>'Loan Sizing'!H49</f>
        <v>0.75</v>
      </c>
      <c r="U41" s="626"/>
    </row>
    <row r="42" spans="2:21" ht="19" customHeight="1" x14ac:dyDescent="0.35">
      <c r="B42" s="565" t="s">
        <v>708</v>
      </c>
      <c r="C42" s="566"/>
      <c r="D42" s="794" t="s">
        <v>709</v>
      </c>
      <c r="E42" s="566"/>
      <c r="F42" s="796" t="s">
        <v>245</v>
      </c>
      <c r="G42" s="796"/>
      <c r="H42" s="797"/>
      <c r="J42" s="628"/>
      <c r="L42" s="620" t="s">
        <v>704</v>
      </c>
      <c r="M42" s="613"/>
      <c r="N42" s="613"/>
      <c r="O42" s="613"/>
      <c r="P42" s="623">
        <f ca="1">'Loan Sizing'!F50</f>
        <v>1.5381818181818178E-4</v>
      </c>
      <c r="Q42" s="623"/>
      <c r="R42" s="623">
        <f ca="1">'Loan Sizing'!G50</f>
        <v>1.6003243636363636E-4</v>
      </c>
      <c r="S42" s="623"/>
      <c r="T42" s="623">
        <f ca="1">'Loan Sizing'!H50</f>
        <v>39065366.329977609</v>
      </c>
      <c r="U42" s="624"/>
    </row>
    <row r="43" spans="2:21" ht="19" customHeight="1" x14ac:dyDescent="0.35">
      <c r="B43" s="570"/>
      <c r="C43" s="571"/>
      <c r="D43" s="795"/>
      <c r="E43" s="602" t="s">
        <v>17</v>
      </c>
      <c r="F43" s="602" t="s">
        <v>205</v>
      </c>
      <c r="G43" s="602" t="s">
        <v>243</v>
      </c>
      <c r="H43" s="603" t="s">
        <v>244</v>
      </c>
      <c r="J43" s="628"/>
      <c r="L43" s="620" t="s">
        <v>199</v>
      </c>
      <c r="M43" s="613"/>
      <c r="N43" s="613"/>
      <c r="O43" s="613"/>
      <c r="P43" s="735">
        <f>'Loan Sizing'!F54</f>
        <v>1.3</v>
      </c>
      <c r="Q43" s="735"/>
      <c r="R43" s="735">
        <f>'Loan Sizing'!G54</f>
        <v>1.3</v>
      </c>
      <c r="S43" s="735"/>
      <c r="T43" s="735">
        <f>'Loan Sizing'!H54</f>
        <v>1.3</v>
      </c>
      <c r="U43" s="614"/>
    </row>
    <row r="44" spans="2:21" ht="19" customHeight="1" x14ac:dyDescent="0.35">
      <c r="B44" s="606" t="s">
        <v>710</v>
      </c>
      <c r="C44" s="581"/>
      <c r="D44" s="581"/>
      <c r="E44" s="599"/>
      <c r="F44" s="581"/>
      <c r="G44" s="581"/>
      <c r="H44" s="582"/>
      <c r="J44" s="628"/>
      <c r="L44" s="620" t="s">
        <v>705</v>
      </c>
      <c r="M44" s="613"/>
      <c r="N44" s="613"/>
      <c r="O44" s="613"/>
      <c r="P44" s="623">
        <f ca="1">'Loan Sizing'!F58</f>
        <v>1.5776223776223775E-4</v>
      </c>
      <c r="Q44" s="623"/>
      <c r="R44" s="623">
        <f ca="1">'Loan Sizing'!G58</f>
        <v>1.6413583216783213E-4</v>
      </c>
      <c r="S44" s="623"/>
      <c r="T44" s="623">
        <f ca="1">'Loan Sizing'!H58</f>
        <v>40067042.389720626</v>
      </c>
      <c r="U44" s="624"/>
    </row>
    <row r="45" spans="2:21" ht="19" customHeight="1" x14ac:dyDescent="0.35">
      <c r="B45" s="608" t="s">
        <v>732</v>
      </c>
      <c r="C45" s="581"/>
      <c r="D45" s="609">
        <f>Assumptions!E94</f>
        <v>450</v>
      </c>
      <c r="E45" s="599">
        <f>SUM(F45:H45)</f>
        <v>346.80700000000007</v>
      </c>
      <c r="F45" s="600">
        <f>Assumptions!$F$93</f>
        <v>346.80700000000007</v>
      </c>
      <c r="G45" s="600">
        <v>0</v>
      </c>
      <c r="H45" s="607">
        <v>0</v>
      </c>
      <c r="J45" s="628"/>
      <c r="L45" s="620"/>
      <c r="M45" s="613"/>
      <c r="N45" s="613"/>
      <c r="O45" s="613"/>
      <c r="P45" s="623"/>
      <c r="Q45" s="623"/>
      <c r="R45" s="623"/>
      <c r="S45" s="623"/>
      <c r="T45" s="623"/>
      <c r="U45" s="624"/>
    </row>
    <row r="46" spans="2:21" ht="19" customHeight="1" x14ac:dyDescent="0.35">
      <c r="B46" s="608" t="s">
        <v>733</v>
      </c>
      <c r="C46" s="581"/>
      <c r="D46" s="609">
        <f>+D45</f>
        <v>450</v>
      </c>
      <c r="E46" s="599">
        <f>SUM(F46:H46)</f>
        <v>231.88266666666669</v>
      </c>
      <c r="F46" s="600">
        <v>0</v>
      </c>
      <c r="G46" s="600">
        <f>Assumptions!$G$93</f>
        <v>231.88266666666669</v>
      </c>
      <c r="H46" s="607">
        <v>0</v>
      </c>
      <c r="J46" s="628"/>
      <c r="L46" s="612" t="s">
        <v>730</v>
      </c>
      <c r="M46" s="581"/>
      <c r="N46" s="581"/>
      <c r="O46" s="581"/>
      <c r="P46" s="637">
        <f ca="1">'Phase I Pro Forma'!D300</f>
        <v>239786815.25509921</v>
      </c>
      <c r="Q46" s="637"/>
      <c r="R46" s="637">
        <f ca="1">'Phase II Pro Forma'!D300</f>
        <v>133045986.39422178</v>
      </c>
      <c r="S46" s="637"/>
      <c r="T46" s="637">
        <f ca="1">'Phase III Pro Forma'!D300</f>
        <v>236128445.69199109</v>
      </c>
      <c r="U46" s="638"/>
    </row>
    <row r="47" spans="2:21" ht="19" customHeight="1" x14ac:dyDescent="0.35">
      <c r="B47" s="608" t="s">
        <v>734</v>
      </c>
      <c r="C47" s="581"/>
      <c r="D47" s="609">
        <f>+D45</f>
        <v>450</v>
      </c>
      <c r="E47" s="599">
        <f>SUM(F47:H47)</f>
        <v>37.277688888888889</v>
      </c>
      <c r="F47" s="600">
        <v>0</v>
      </c>
      <c r="G47" s="600">
        <v>0</v>
      </c>
      <c r="H47" s="607">
        <f>Assumptions!$H$93</f>
        <v>37.277688888888889</v>
      </c>
      <c r="J47" s="628"/>
      <c r="L47" s="612" t="s">
        <v>729</v>
      </c>
      <c r="M47" s="581"/>
      <c r="N47" s="581"/>
      <c r="O47" s="581"/>
      <c r="P47" s="637">
        <f ca="1">'Loan Sizing'!F64</f>
        <v>274767695.25563228</v>
      </c>
      <c r="Q47" s="637"/>
      <c r="R47" s="637">
        <f ca="1">'Loan Sizing'!G64</f>
        <v>157724099.92887315</v>
      </c>
      <c r="S47" s="637"/>
      <c r="T47" s="637">
        <f ca="1">'Loan Sizing'!H64</f>
        <v>282834393.54679292</v>
      </c>
      <c r="U47" s="638"/>
    </row>
    <row r="48" spans="2:21" ht="19" customHeight="1" x14ac:dyDescent="0.35">
      <c r="B48" s="631" t="s">
        <v>551</v>
      </c>
      <c r="C48" s="632"/>
      <c r="D48" s="632"/>
      <c r="E48" s="633">
        <f>SUM(E45:E47)</f>
        <v>615.96735555555563</v>
      </c>
      <c r="F48" s="634">
        <f t="shared" ref="F48:H48" si="7">SUM(F45:F47)</f>
        <v>346.80700000000007</v>
      </c>
      <c r="G48" s="634">
        <f t="shared" si="7"/>
        <v>231.88266666666669</v>
      </c>
      <c r="H48" s="635">
        <f t="shared" si="7"/>
        <v>37.277688888888889</v>
      </c>
      <c r="J48" s="628"/>
      <c r="L48" s="639" t="s">
        <v>731</v>
      </c>
      <c r="M48" s="640"/>
      <c r="N48" s="640"/>
      <c r="O48" s="640"/>
      <c r="P48" s="641">
        <f ca="1">'Phase I Pro Forma'!J280</f>
        <v>20021624.698411778</v>
      </c>
      <c r="Q48" s="641"/>
      <c r="R48" s="641">
        <f ca="1">'Phase II Pro Forma'!J280</f>
        <v>11438333.50598431</v>
      </c>
      <c r="S48" s="641"/>
      <c r="T48" s="641">
        <f ca="1">'Phase III Pro Forma'!J280</f>
        <v>20715160.605946351</v>
      </c>
      <c r="U48" s="642"/>
    </row>
    <row r="49" spans="2:21" ht="19" customHeight="1" x14ac:dyDescent="0.25">
      <c r="B49" s="606" t="s">
        <v>713</v>
      </c>
      <c r="C49" s="581"/>
      <c r="D49" s="581"/>
      <c r="E49" s="599"/>
      <c r="F49" s="581"/>
      <c r="G49" s="581"/>
      <c r="H49" s="582"/>
      <c r="J49" s="630"/>
    </row>
    <row r="50" spans="2:21" ht="19" customHeight="1" x14ac:dyDescent="0.35">
      <c r="B50" s="608" t="str">
        <f>Assumptions!B141</f>
        <v>Sports Museum and Community Sports Center</v>
      </c>
      <c r="C50" s="581"/>
      <c r="D50" s="609"/>
      <c r="E50" s="599">
        <f t="shared" ref="E50:E52" si="8">SUM(F50:H50)</f>
        <v>60000.000099999997</v>
      </c>
      <c r="F50" s="600">
        <f>Assumptions!F142</f>
        <v>60000</v>
      </c>
      <c r="G50" s="600">
        <f>Assumptions!G142</f>
        <v>1E-4</v>
      </c>
      <c r="H50" s="607">
        <f>Assumptions!H142</f>
        <v>0</v>
      </c>
      <c r="J50" s="628"/>
      <c r="L50" s="565" t="s">
        <v>711</v>
      </c>
      <c r="M50" s="566"/>
      <c r="N50" s="566"/>
      <c r="O50" s="566"/>
      <c r="P50" s="796" t="s">
        <v>245</v>
      </c>
      <c r="Q50" s="796"/>
      <c r="R50" s="796"/>
      <c r="S50" s="796"/>
      <c r="T50" s="796"/>
      <c r="U50" s="569"/>
    </row>
    <row r="51" spans="2:21" ht="19" customHeight="1" x14ac:dyDescent="0.35">
      <c r="B51" s="608" t="str">
        <f>Assumptions!B145</f>
        <v>STEM Charter School</v>
      </c>
      <c r="C51" s="581"/>
      <c r="D51" s="609"/>
      <c r="E51" s="599">
        <f t="shared" si="8"/>
        <v>78210</v>
      </c>
      <c r="F51" s="600">
        <f>Assumptions!F146</f>
        <v>0</v>
      </c>
      <c r="G51" s="600">
        <f>Assumptions!G146</f>
        <v>0</v>
      </c>
      <c r="H51" s="607">
        <f>Assumptions!H146</f>
        <v>78210</v>
      </c>
      <c r="J51" s="628"/>
      <c r="L51" s="643"/>
      <c r="M51" s="644"/>
      <c r="N51" s="644"/>
      <c r="O51" s="645" t="s">
        <v>17</v>
      </c>
      <c r="P51" s="645" t="s">
        <v>205</v>
      </c>
      <c r="Q51" s="645" t="s">
        <v>712</v>
      </c>
      <c r="R51" s="645" t="s">
        <v>243</v>
      </c>
      <c r="S51" s="645" t="s">
        <v>712</v>
      </c>
      <c r="T51" s="645" t="s">
        <v>244</v>
      </c>
      <c r="U51" s="646" t="s">
        <v>712</v>
      </c>
    </row>
    <row r="52" spans="2:21" ht="19" customHeight="1" x14ac:dyDescent="0.25">
      <c r="B52" s="608" t="str">
        <f>Assumptions!B149</f>
        <v>Test Kitchen</v>
      </c>
      <c r="C52" s="581"/>
      <c r="D52" s="609"/>
      <c r="E52" s="599">
        <f t="shared" si="8"/>
        <v>19125</v>
      </c>
      <c r="F52" s="600">
        <f>Assumptions!F150</f>
        <v>19125</v>
      </c>
      <c r="G52" s="600">
        <f>Assumptions!G150</f>
        <v>0</v>
      </c>
      <c r="H52" s="607">
        <f>Assumptions!H150</f>
        <v>0</v>
      </c>
      <c r="J52" s="628"/>
      <c r="L52" s="606" t="s">
        <v>714</v>
      </c>
      <c r="M52" s="583"/>
      <c r="N52" s="583"/>
      <c r="O52" s="583"/>
      <c r="P52" s="583"/>
      <c r="Q52" s="583"/>
      <c r="R52" s="583"/>
      <c r="S52" s="583"/>
      <c r="T52" s="583"/>
      <c r="U52" s="601"/>
    </row>
    <row r="53" spans="2:21" ht="19" customHeight="1" x14ac:dyDescent="0.25">
      <c r="B53" s="631" t="s">
        <v>551</v>
      </c>
      <c r="C53" s="632"/>
      <c r="D53" s="632"/>
      <c r="E53" s="633">
        <f>SUM(E50:E52)</f>
        <v>157335.0001</v>
      </c>
      <c r="F53" s="634">
        <f>SUM(F50:F52)</f>
        <v>79125</v>
      </c>
      <c r="G53" s="634">
        <f t="shared" ref="G53:H53" si="9">SUM(G50:G52)</f>
        <v>1E-4</v>
      </c>
      <c r="H53" s="635">
        <f t="shared" si="9"/>
        <v>78210</v>
      </c>
      <c r="J53" s="628"/>
      <c r="L53" s="647" t="s">
        <v>715</v>
      </c>
      <c r="M53" s="567"/>
      <c r="N53" s="567"/>
      <c r="O53" s="630"/>
      <c r="P53" s="630"/>
      <c r="Q53" s="630"/>
      <c r="R53" s="600"/>
      <c r="S53" s="600"/>
      <c r="T53" s="600"/>
      <c r="U53" s="607"/>
    </row>
    <row r="54" spans="2:21" ht="19" customHeight="1" x14ac:dyDescent="0.25">
      <c r="B54" s="606" t="s">
        <v>717</v>
      </c>
      <c r="C54" s="581"/>
      <c r="D54" s="581"/>
      <c r="E54" s="599"/>
      <c r="F54" s="581"/>
      <c r="G54" s="581"/>
      <c r="H54" s="582"/>
      <c r="J54" s="628"/>
      <c r="L54" s="608" t="s">
        <v>633</v>
      </c>
      <c r="M54" s="567"/>
      <c r="N54" s="567"/>
      <c r="O54" s="648">
        <f t="shared" ref="O54:O64" ca="1" si="10">SUM(P54:T54)</f>
        <v>122534164.10087904</v>
      </c>
      <c r="P54" s="648">
        <f ca="1">'S&amp;U'!H3</f>
        <v>51495790.787373006</v>
      </c>
      <c r="Q54" s="649">
        <f ca="1">P54/P$55</f>
        <v>1</v>
      </c>
      <c r="R54" s="648">
        <f ca="1">'S&amp;U'!I3</f>
        <v>18868356.37705791</v>
      </c>
      <c r="S54" s="649">
        <f ca="1">R54/R$55</f>
        <v>1</v>
      </c>
      <c r="T54" s="648">
        <f ca="1">'S&amp;U'!J3</f>
        <v>52170014.936448134</v>
      </c>
      <c r="U54" s="650">
        <f ca="1">T54/T$55</f>
        <v>1</v>
      </c>
    </row>
    <row r="55" spans="2:21" ht="19" customHeight="1" x14ac:dyDescent="0.25">
      <c r="B55" s="608" t="s">
        <v>213</v>
      </c>
      <c r="C55" s="581"/>
      <c r="D55" s="609">
        <f>Assumptions!F178</f>
        <v>330</v>
      </c>
      <c r="E55" s="599">
        <f>SUM(F55:H55)</f>
        <v>718.18181818181824</v>
      </c>
      <c r="F55" s="600">
        <f>Assumptions!F177</f>
        <v>251.5151515151515</v>
      </c>
      <c r="G55" s="600">
        <f>Assumptions!G177</f>
        <v>321.21212121212119</v>
      </c>
      <c r="H55" s="607">
        <f>Assumptions!H177</f>
        <v>145.45454545454547</v>
      </c>
      <c r="J55" s="628"/>
      <c r="L55" s="739" t="s">
        <v>96</v>
      </c>
      <c r="M55" s="740"/>
      <c r="N55" s="740"/>
      <c r="O55" s="741">
        <f t="shared" ca="1" si="10"/>
        <v>122534162.10087904</v>
      </c>
      <c r="P55" s="741">
        <f ca="1">'S&amp;U'!H4</f>
        <v>51495790.787373006</v>
      </c>
      <c r="Q55" s="742"/>
      <c r="R55" s="741">
        <f ca="1">'S&amp;U'!I4</f>
        <v>18868356.37705791</v>
      </c>
      <c r="S55" s="742"/>
      <c r="T55" s="741">
        <f ca="1">'S&amp;U'!J4</f>
        <v>52170014.936448134</v>
      </c>
      <c r="U55" s="743"/>
    </row>
    <row r="56" spans="2:21" ht="19" customHeight="1" x14ac:dyDescent="0.25">
      <c r="B56" s="608" t="s">
        <v>28</v>
      </c>
      <c r="C56" s="581"/>
      <c r="D56" s="609">
        <f>Assumptions!F192</f>
        <v>330</v>
      </c>
      <c r="E56" s="599">
        <f>SUM(F56:H56)</f>
        <v>454.54545454545456</v>
      </c>
      <c r="F56" s="600">
        <f>Assumptions!F191</f>
        <v>0</v>
      </c>
      <c r="G56" s="600">
        <f>Assumptions!G191</f>
        <v>0</v>
      </c>
      <c r="H56" s="607">
        <f>Assumptions!H191</f>
        <v>454.54545454545456</v>
      </c>
      <c r="J56" s="628"/>
      <c r="L56" s="647" t="s">
        <v>716</v>
      </c>
      <c r="M56" s="567"/>
      <c r="N56" s="567"/>
      <c r="O56" s="648"/>
      <c r="P56" s="653"/>
      <c r="Q56" s="654"/>
      <c r="R56" s="653"/>
      <c r="S56" s="654"/>
      <c r="T56" s="653"/>
      <c r="U56" s="655"/>
    </row>
    <row r="57" spans="2:21" ht="19" customHeight="1" x14ac:dyDescent="0.25">
      <c r="B57" s="631" t="s">
        <v>551</v>
      </c>
      <c r="C57" s="632"/>
      <c r="D57" s="632"/>
      <c r="E57" s="633">
        <f>SUM(E55:E56)</f>
        <v>1172.7272727272727</v>
      </c>
      <c r="F57" s="634">
        <f>SUM(F55:F56)</f>
        <v>251.5151515151515</v>
      </c>
      <c r="G57" s="634">
        <f t="shared" ref="G57:H57" si="11">SUM(G55:G56)</f>
        <v>321.21212121212119</v>
      </c>
      <c r="H57" s="635">
        <f t="shared" si="11"/>
        <v>600</v>
      </c>
      <c r="J57" s="628"/>
      <c r="L57" s="608" t="s">
        <v>61</v>
      </c>
      <c r="M57" s="567"/>
      <c r="N57" s="567"/>
      <c r="O57" s="648">
        <f t="shared" ca="1" si="10"/>
        <v>16840711.284541905</v>
      </c>
      <c r="P57" s="648">
        <f>'S&amp;U'!H7</f>
        <v>6900151</v>
      </c>
      <c r="Q57" s="649">
        <f t="shared" ref="Q57:Q63" ca="1" si="12">P57/P$64</f>
        <v>0.13399446623687827</v>
      </c>
      <c r="R57" s="648">
        <f>'S&amp;U'!I7</f>
        <v>818973.10714285716</v>
      </c>
      <c r="S57" s="649">
        <f t="shared" ref="S57:S63" ca="1" si="13">R57/R$64</f>
        <v>4.3404581235207587E-2</v>
      </c>
      <c r="T57" s="648">
        <f>'S&amp;U'!J7</f>
        <v>9121587</v>
      </c>
      <c r="U57" s="650">
        <f t="shared" ref="U57:U63" ca="1" si="14">T57/T$64</f>
        <v>0.1748434807065252</v>
      </c>
    </row>
    <row r="58" spans="2:21" ht="19" customHeight="1" x14ac:dyDescent="0.3">
      <c r="B58" s="736"/>
      <c r="J58" s="636"/>
      <c r="L58" s="608" t="s">
        <v>8</v>
      </c>
      <c r="M58" s="567"/>
      <c r="N58" s="567"/>
      <c r="O58" s="648">
        <f t="shared" ca="1" si="10"/>
        <v>71309823.009482741</v>
      </c>
      <c r="P58" s="648">
        <f>'S&amp;U'!H8</f>
        <v>31353547.897872344</v>
      </c>
      <c r="Q58" s="649">
        <f t="shared" ca="1" si="12"/>
        <v>0.60885651853239176</v>
      </c>
      <c r="R58" s="648">
        <f>'S&amp;U'!I8</f>
        <v>10461100</v>
      </c>
      <c r="S58" s="649">
        <f t="shared" ca="1" si="13"/>
        <v>0.55442561031546356</v>
      </c>
      <c r="T58" s="648">
        <f>'S&amp;U'!J8</f>
        <v>29495173.948328272</v>
      </c>
      <c r="U58" s="650">
        <f t="shared" ca="1" si="14"/>
        <v>0.56536640796937399</v>
      </c>
    </row>
    <row r="59" spans="2:21" ht="19" customHeight="1" x14ac:dyDescent="0.35">
      <c r="B59" s="565" t="s">
        <v>718</v>
      </c>
      <c r="C59" s="566"/>
      <c r="D59" s="566"/>
      <c r="E59" s="796" t="s">
        <v>719</v>
      </c>
      <c r="F59" s="796"/>
      <c r="G59" s="656" t="s">
        <v>720</v>
      </c>
      <c r="H59" s="569" t="s">
        <v>116</v>
      </c>
      <c r="J59" s="630"/>
      <c r="L59" s="608" t="s">
        <v>368</v>
      </c>
      <c r="M59" s="583"/>
      <c r="N59" s="583"/>
      <c r="O59" s="648">
        <f t="shared" ca="1" si="10"/>
        <v>160000.00310705006</v>
      </c>
      <c r="P59" s="648">
        <f>'S&amp;U'!H9</f>
        <v>160000</v>
      </c>
      <c r="Q59" s="649">
        <f t="shared" ca="1" si="12"/>
        <v>3.1070500628030497E-3</v>
      </c>
      <c r="R59" s="648">
        <f>'S&amp;U'!I9</f>
        <v>0</v>
      </c>
      <c r="S59" s="649">
        <f t="shared" ca="1" si="13"/>
        <v>0</v>
      </c>
      <c r="T59" s="648">
        <f>'S&amp;U'!J9</f>
        <v>0</v>
      </c>
      <c r="U59" s="650">
        <f t="shared" ca="1" si="14"/>
        <v>0</v>
      </c>
    </row>
    <row r="60" spans="2:21" ht="19" customHeight="1" x14ac:dyDescent="0.35">
      <c r="B60" s="643"/>
      <c r="C60" s="644"/>
      <c r="D60" s="657"/>
      <c r="E60" s="658" t="s">
        <v>121</v>
      </c>
      <c r="F60" s="658" t="s">
        <v>119</v>
      </c>
      <c r="G60" s="658" t="s">
        <v>721</v>
      </c>
      <c r="H60" s="659" t="s">
        <v>722</v>
      </c>
      <c r="J60" s="628"/>
      <c r="L60" s="608" t="s">
        <v>58</v>
      </c>
      <c r="M60" s="583"/>
      <c r="N60" s="583"/>
      <c r="O60" s="648">
        <f t="shared" ca="1" si="10"/>
        <v>34223629.803747348</v>
      </c>
      <c r="P60" s="648">
        <f ca="1">'S&amp;U'!H10</f>
        <v>13082091.889500661</v>
      </c>
      <c r="Q60" s="649">
        <f t="shared" ca="1" si="12"/>
        <v>0.25404196516792682</v>
      </c>
      <c r="R60" s="648">
        <f ca="1">'S&amp;U'!I10</f>
        <v>7588283.2699150536</v>
      </c>
      <c r="S60" s="649">
        <f t="shared" ca="1" si="13"/>
        <v>0.40216980844932892</v>
      </c>
      <c r="T60" s="648">
        <f ca="1">'S&amp;U'!J10</f>
        <v>13553253.988119861</v>
      </c>
      <c r="U60" s="650">
        <f t="shared" ca="1" si="14"/>
        <v>0.25979011132410079</v>
      </c>
    </row>
    <row r="61" spans="2:21" ht="19" customHeight="1" x14ac:dyDescent="0.25">
      <c r="B61" s="660" t="s">
        <v>700</v>
      </c>
      <c r="C61" s="661"/>
      <c r="D61" s="661"/>
      <c r="E61" s="661"/>
      <c r="F61" s="661"/>
      <c r="G61" s="661"/>
      <c r="H61" s="662"/>
      <c r="J61" s="628"/>
      <c r="L61" s="608" t="s">
        <v>80</v>
      </c>
      <c r="M61" s="583"/>
      <c r="N61" s="583"/>
      <c r="O61" s="648">
        <f t="shared" ca="1" si="10"/>
        <v>0</v>
      </c>
      <c r="P61" s="648">
        <f>'S&amp;U'!H11</f>
        <v>0</v>
      </c>
      <c r="Q61" s="649">
        <f t="shared" ca="1" si="12"/>
        <v>0</v>
      </c>
      <c r="R61" s="648">
        <f>'S&amp;U'!I11</f>
        <v>0</v>
      </c>
      <c r="S61" s="649">
        <f t="shared" ca="1" si="13"/>
        <v>0</v>
      </c>
      <c r="T61" s="648">
        <f>'S&amp;U'!J11</f>
        <v>0</v>
      </c>
      <c r="U61" s="650">
        <f t="shared" ca="1" si="14"/>
        <v>0</v>
      </c>
    </row>
    <row r="62" spans="2:21" ht="19" customHeight="1" x14ac:dyDescent="0.35">
      <c r="B62" s="663" t="s">
        <v>115</v>
      </c>
      <c r="C62" s="581"/>
      <c r="D62" s="581"/>
      <c r="E62" s="664">
        <f>Assumptions!F64</f>
        <v>1450</v>
      </c>
      <c r="F62" s="744">
        <f>Assumptions!F63</f>
        <v>31.636363636363637</v>
      </c>
      <c r="G62" s="665">
        <f>Assumptions!$M$64</f>
        <v>0.03</v>
      </c>
      <c r="H62" s="666">
        <f>Assumptions!$M$55</f>
        <v>0.05</v>
      </c>
      <c r="J62" s="628"/>
      <c r="L62" s="608" t="s">
        <v>83</v>
      </c>
      <c r="M62" s="583"/>
      <c r="N62" s="583"/>
      <c r="O62" s="648">
        <f t="shared" ca="1" si="10"/>
        <v>0</v>
      </c>
      <c r="P62" s="648">
        <f>'S&amp;U'!H12</f>
        <v>0</v>
      </c>
      <c r="Q62" s="649">
        <f t="shared" ca="1" si="12"/>
        <v>0</v>
      </c>
      <c r="R62" s="648">
        <f>'S&amp;U'!I12</f>
        <v>0</v>
      </c>
      <c r="S62" s="649">
        <f t="shared" ca="1" si="13"/>
        <v>0</v>
      </c>
      <c r="T62" s="648">
        <f>'S&amp;U'!J12</f>
        <v>0</v>
      </c>
      <c r="U62" s="650">
        <f t="shared" ca="1" si="14"/>
        <v>0</v>
      </c>
    </row>
    <row r="63" spans="2:21" ht="19" customHeight="1" x14ac:dyDescent="0.35">
      <c r="B63" s="663" t="s">
        <v>123</v>
      </c>
      <c r="C63" s="581"/>
      <c r="D63" s="581"/>
      <c r="E63" s="664">
        <f>Assumptions!F68</f>
        <v>1700</v>
      </c>
      <c r="F63" s="744">
        <f>Assumptions!F67</f>
        <v>27.2</v>
      </c>
      <c r="G63" s="665">
        <f>Assumptions!$M$64</f>
        <v>0.03</v>
      </c>
      <c r="H63" s="666">
        <f>Assumptions!$M$55</f>
        <v>0.05</v>
      </c>
      <c r="J63" s="628"/>
      <c r="L63" s="608" t="s">
        <v>60</v>
      </c>
      <c r="M63" s="581"/>
      <c r="N63" s="581"/>
      <c r="O63" s="648">
        <f t="shared" ca="1" si="10"/>
        <v>0</v>
      </c>
      <c r="P63" s="648">
        <f ca="1">'S&amp;U'!H13</f>
        <v>0</v>
      </c>
      <c r="Q63" s="649">
        <f t="shared" ca="1" si="12"/>
        <v>0</v>
      </c>
      <c r="R63" s="648">
        <f ca="1">'S&amp;U'!I13</f>
        <v>0</v>
      </c>
      <c r="S63" s="649">
        <f t="shared" ca="1" si="13"/>
        <v>0</v>
      </c>
      <c r="T63" s="648">
        <f ca="1">'S&amp;U'!J13</f>
        <v>0</v>
      </c>
      <c r="U63" s="650">
        <f t="shared" ca="1" si="14"/>
        <v>0</v>
      </c>
    </row>
    <row r="64" spans="2:21" ht="19" customHeight="1" x14ac:dyDescent="0.35">
      <c r="B64" s="663" t="s">
        <v>127</v>
      </c>
      <c r="C64" s="581"/>
      <c r="D64" s="581"/>
      <c r="E64" s="664">
        <f>Assumptions!F72</f>
        <v>2400</v>
      </c>
      <c r="F64" s="744">
        <f>Assumptions!F71</f>
        <v>26.181818181818183</v>
      </c>
      <c r="G64" s="665">
        <f>Assumptions!$M$64</f>
        <v>0.03</v>
      </c>
      <c r="H64" s="666">
        <f>Assumptions!$M$55</f>
        <v>0.05</v>
      </c>
      <c r="J64" s="628"/>
      <c r="L64" s="739" t="s">
        <v>97</v>
      </c>
      <c r="M64" s="740"/>
      <c r="N64" s="740"/>
      <c r="O64" s="741">
        <f t="shared" ca="1" si="10"/>
        <v>122534162.10087904</v>
      </c>
      <c r="P64" s="741">
        <f ca="1">'S&amp;U'!H14</f>
        <v>51495790.787373006</v>
      </c>
      <c r="Q64" s="742"/>
      <c r="R64" s="741">
        <f ca="1">'S&amp;U'!I14</f>
        <v>18868356.37705791</v>
      </c>
      <c r="S64" s="742"/>
      <c r="T64" s="741">
        <f ca="1">'S&amp;U'!J14</f>
        <v>52170014.936448134</v>
      </c>
      <c r="U64" s="743"/>
    </row>
    <row r="65" spans="2:21" ht="19" customHeight="1" x14ac:dyDescent="0.35">
      <c r="B65" s="663" t="s">
        <v>132</v>
      </c>
      <c r="C65" s="581"/>
      <c r="D65" s="581"/>
      <c r="E65" s="664">
        <f>Assumptions!F76</f>
        <v>3200</v>
      </c>
      <c r="F65" s="744">
        <f>Assumptions!F75</f>
        <v>25.6</v>
      </c>
      <c r="G65" s="665">
        <f>Assumptions!$M$64</f>
        <v>0.03</v>
      </c>
      <c r="H65" s="666">
        <f>Assumptions!$M$55</f>
        <v>0.05</v>
      </c>
      <c r="J65" s="628"/>
      <c r="L65" s="608"/>
      <c r="M65" s="567"/>
      <c r="N65" s="567"/>
      <c r="O65" s="648"/>
      <c r="P65" s="648"/>
      <c r="Q65" s="651"/>
      <c r="R65" s="648"/>
      <c r="S65" s="651"/>
      <c r="T65" s="648"/>
      <c r="U65" s="652"/>
    </row>
    <row r="66" spans="2:21" ht="19" customHeight="1" x14ac:dyDescent="0.35">
      <c r="B66" s="663" t="s">
        <v>378</v>
      </c>
      <c r="C66" s="581"/>
      <c r="D66" s="581"/>
      <c r="E66" s="664">
        <f>Assumptions!F80</f>
        <v>4500</v>
      </c>
      <c r="F66" s="744">
        <f>Assumptions!F79</f>
        <v>24.545454545454547</v>
      </c>
      <c r="G66" s="665">
        <f>Assumptions!$M$64</f>
        <v>0.03</v>
      </c>
      <c r="H66" s="666">
        <f>Assumptions!$M$55</f>
        <v>0.05</v>
      </c>
      <c r="J66" s="628"/>
      <c r="L66" s="612" t="s">
        <v>666</v>
      </c>
      <c r="M66" s="581"/>
      <c r="N66" s="581"/>
      <c r="O66" s="648"/>
      <c r="P66" s="667"/>
      <c r="Q66" s="668"/>
      <c r="R66" s="667"/>
      <c r="S66" s="668"/>
      <c r="T66" s="667"/>
      <c r="U66" s="669"/>
    </row>
    <row r="67" spans="2:21" ht="19" customHeight="1" x14ac:dyDescent="0.35">
      <c r="B67" s="631" t="s">
        <v>618</v>
      </c>
      <c r="C67" s="632"/>
      <c r="D67" s="632"/>
      <c r="E67" s="670">
        <f>Assumptions!F86</f>
        <v>1756.4784053156145</v>
      </c>
      <c r="F67" s="745">
        <f>Assumptions!F85</f>
        <v>28.83818181818182</v>
      </c>
      <c r="G67" s="670"/>
      <c r="H67" s="671"/>
      <c r="J67" s="628"/>
      <c r="L67" s="647" t="s">
        <v>715</v>
      </c>
      <c r="M67" s="581"/>
      <c r="N67" s="581"/>
      <c r="O67" s="648"/>
      <c r="P67" s="653"/>
      <c r="Q67" s="654"/>
      <c r="R67" s="653"/>
      <c r="S67" s="654"/>
      <c r="T67" s="653"/>
      <c r="U67" s="655"/>
    </row>
    <row r="68" spans="2:21" ht="19" customHeight="1" x14ac:dyDescent="0.35">
      <c r="B68" s="660" t="s">
        <v>762</v>
      </c>
      <c r="C68" s="661"/>
      <c r="D68" s="661"/>
      <c r="E68" s="672"/>
      <c r="F68" s="746"/>
      <c r="G68" s="672"/>
      <c r="H68" s="673"/>
      <c r="J68" s="628"/>
      <c r="L68" s="608" t="s">
        <v>336</v>
      </c>
      <c r="M68" s="581"/>
      <c r="N68" s="581"/>
      <c r="O68" s="648">
        <f t="shared" ref="O68:O75" ca="1" si="15">SUM(P68:T68)</f>
        <v>608961248.5413121</v>
      </c>
      <c r="P68" s="648">
        <f ca="1">'S&amp;U'!H17</f>
        <v>239786815.25509921</v>
      </c>
      <c r="Q68" s="649">
        <f t="shared" ref="Q68:Q74" ca="1" si="16">P68/P$75</f>
        <v>0.6</v>
      </c>
      <c r="R68" s="648">
        <f ca="1">'S&amp;U'!I17</f>
        <v>133045986.39422178</v>
      </c>
      <c r="S68" s="649">
        <f t="shared" ref="S68:S74" ca="1" si="17">R68/R$75</f>
        <v>0.6</v>
      </c>
      <c r="T68" s="648">
        <f ca="1">'S&amp;U'!J17</f>
        <v>236128445.69199109</v>
      </c>
      <c r="U68" s="650">
        <f t="shared" ref="U68:U74" ca="1" si="18">T68/T$75</f>
        <v>0.6</v>
      </c>
    </row>
    <row r="69" spans="2:21" ht="19" customHeight="1" x14ac:dyDescent="0.35">
      <c r="B69" s="663" t="s">
        <v>115</v>
      </c>
      <c r="C69" s="581"/>
      <c r="D69" s="581"/>
      <c r="E69" s="664">
        <f>Assumptions!F37</f>
        <v>686</v>
      </c>
      <c r="F69" s="744">
        <f>Assumptions!F36</f>
        <v>14.967272727272727</v>
      </c>
      <c r="G69" s="665">
        <f>Assumptions!$M$63</f>
        <v>0.02</v>
      </c>
      <c r="H69" s="666">
        <f>Assumptions!$M$54</f>
        <v>0.03</v>
      </c>
      <c r="J69" s="628"/>
      <c r="L69" s="608" t="s">
        <v>98</v>
      </c>
      <c r="M69" s="581"/>
      <c r="N69" s="581"/>
      <c r="O69" s="648">
        <f t="shared" ca="1" si="15"/>
        <v>182048916.8689982</v>
      </c>
      <c r="P69" s="648">
        <f ca="1">'S&amp;U'!H18</f>
        <v>74189767.741794825</v>
      </c>
      <c r="Q69" s="649">
        <f t="shared" ca="1" si="16"/>
        <v>0.18563931714811113</v>
      </c>
      <c r="R69" s="648">
        <f ca="1">'S&amp;U'!I18</f>
        <v>43584912.158747993</v>
      </c>
      <c r="S69" s="649">
        <f t="shared" ca="1" si="17"/>
        <v>0.19655570231004382</v>
      </c>
      <c r="T69" s="648">
        <f ca="1">'S&amp;U'!J18</f>
        <v>64274236.586260393</v>
      </c>
      <c r="U69" s="650">
        <f t="shared" ca="1" si="18"/>
        <v>0.16332018719193328</v>
      </c>
    </row>
    <row r="70" spans="2:21" ht="19" customHeight="1" x14ac:dyDescent="0.35">
      <c r="B70" s="663" t="s">
        <v>123</v>
      </c>
      <c r="C70" s="581"/>
      <c r="D70" s="581"/>
      <c r="E70" s="664">
        <f>Assumptions!F41</f>
        <v>735</v>
      </c>
      <c r="F70" s="744">
        <f>Assumptions!F40</f>
        <v>11.76</v>
      </c>
      <c r="G70" s="665">
        <f>Assumptions!$M$63</f>
        <v>0.02</v>
      </c>
      <c r="H70" s="666">
        <f>Assumptions!$M$54</f>
        <v>0.03</v>
      </c>
      <c r="J70" s="630"/>
      <c r="L70" s="608" t="s">
        <v>332</v>
      </c>
      <c r="M70" s="581"/>
      <c r="N70" s="581"/>
      <c r="O70" s="648">
        <f t="shared" ca="1" si="15"/>
        <v>0</v>
      </c>
      <c r="P70" s="648">
        <f>'S&amp;U'!H19</f>
        <v>0</v>
      </c>
      <c r="Q70" s="649">
        <f t="shared" ca="1" si="16"/>
        <v>0</v>
      </c>
      <c r="R70" s="648">
        <f>'S&amp;U'!I19</f>
        <v>0</v>
      </c>
      <c r="S70" s="649">
        <f t="shared" ca="1" si="17"/>
        <v>0</v>
      </c>
      <c r="T70" s="648">
        <f>'S&amp;U'!J19</f>
        <v>0</v>
      </c>
      <c r="U70" s="650">
        <f t="shared" ca="1" si="18"/>
        <v>0</v>
      </c>
    </row>
    <row r="71" spans="2:21" ht="38" customHeight="1" x14ac:dyDescent="0.35">
      <c r="B71" s="663" t="s">
        <v>127</v>
      </c>
      <c r="C71" s="581"/>
      <c r="D71" s="581"/>
      <c r="E71" s="664">
        <f>Assumptions!F45</f>
        <v>881</v>
      </c>
      <c r="F71" s="744">
        <f>Assumptions!F44</f>
        <v>9.6109090909090913</v>
      </c>
      <c r="G71" s="665">
        <f>Assumptions!$M$63</f>
        <v>0.02</v>
      </c>
      <c r="H71" s="666">
        <f>Assumptions!$M$54</f>
        <v>0.03</v>
      </c>
      <c r="J71" s="628"/>
      <c r="L71" s="608" t="s">
        <v>622</v>
      </c>
      <c r="M71" s="581"/>
      <c r="N71" s="581"/>
      <c r="O71" s="648">
        <f t="shared" ca="1" si="15"/>
        <v>32172132.995907001</v>
      </c>
      <c r="P71" s="648">
        <f>'S&amp;U'!H20</f>
        <v>12714766.389964083</v>
      </c>
      <c r="Q71" s="649">
        <f t="shared" ca="1" si="16"/>
        <v>3.1815176434377444E-2</v>
      </c>
      <c r="R71" s="648">
        <f>'S&amp;U'!I20</f>
        <v>8832339.7304545473</v>
      </c>
      <c r="S71" s="649">
        <f t="shared" ca="1" si="17"/>
        <v>3.983136945274196E-2</v>
      </c>
      <c r="T71" s="648">
        <f>'S&amp;U'!J20</f>
        <v>10625026.803841824</v>
      </c>
      <c r="U71" s="650">
        <f t="shared" ca="1" si="18"/>
        <v>2.6998085993505182E-2</v>
      </c>
    </row>
    <row r="72" spans="2:21" ht="38" customHeight="1" x14ac:dyDescent="0.35">
      <c r="B72" s="663" t="s">
        <v>132</v>
      </c>
      <c r="C72" s="581"/>
      <c r="D72" s="581"/>
      <c r="E72" s="664">
        <f>Assumptions!F49</f>
        <v>1018</v>
      </c>
      <c r="F72" s="744">
        <f>Assumptions!F48</f>
        <v>8.1440000000000001</v>
      </c>
      <c r="G72" s="665">
        <f>Assumptions!$M$63</f>
        <v>0.02</v>
      </c>
      <c r="H72" s="666">
        <f>Assumptions!$M$54</f>
        <v>0.03</v>
      </c>
      <c r="J72" s="628"/>
      <c r="L72" s="608" t="s">
        <v>628</v>
      </c>
      <c r="M72" s="581"/>
      <c r="N72" s="581"/>
      <c r="O72" s="648">
        <f t="shared" ca="1" si="15"/>
        <v>11076000.013919707</v>
      </c>
      <c r="P72" s="648">
        <f>'S&amp;U'!H21</f>
        <v>5538000</v>
      </c>
      <c r="Q72" s="649">
        <f t="shared" ca="1" si="16"/>
        <v>1.3857309028709569E-2</v>
      </c>
      <c r="R72" s="648">
        <f>'S&amp;U'!I21</f>
        <v>6.2400000000000012E-5</v>
      </c>
      <c r="S72" s="649">
        <f t="shared" ca="1" si="17"/>
        <v>2.814064596361701E-13</v>
      </c>
      <c r="T72" s="648">
        <f>'S&amp;U'!J21</f>
        <v>5538000</v>
      </c>
      <c r="U72" s="650">
        <f t="shared" ca="1" si="18"/>
        <v>1.4072002169252839E-2</v>
      </c>
    </row>
    <row r="73" spans="2:21" ht="19" customHeight="1" x14ac:dyDescent="0.35">
      <c r="B73" s="663" t="s">
        <v>379</v>
      </c>
      <c r="C73" s="581"/>
      <c r="D73" s="581"/>
      <c r="E73" s="664">
        <f>Assumptions!F53</f>
        <v>1136</v>
      </c>
      <c r="F73" s="744">
        <f>Assumptions!F52</f>
        <v>6.1963636363636363</v>
      </c>
      <c r="G73" s="665">
        <f>Assumptions!$M$63</f>
        <v>0.02</v>
      </c>
      <c r="H73" s="666">
        <f>Assumptions!$M$54</f>
        <v>0.03</v>
      </c>
      <c r="J73" s="628"/>
      <c r="L73" s="608" t="s">
        <v>621</v>
      </c>
      <c r="M73" s="581"/>
      <c r="N73" s="581"/>
      <c r="O73" s="648">
        <f t="shared" ca="1" si="15"/>
        <v>3256330.7756253006</v>
      </c>
      <c r="P73" s="648">
        <f ca="1">'S&amp;U'!H22</f>
        <v>3256330.7674772362</v>
      </c>
      <c r="Q73" s="649">
        <f t="shared" ca="1" si="16"/>
        <v>8.1480645981630677E-3</v>
      </c>
      <c r="R73" s="648">
        <f>'S&amp;U'!I22</f>
        <v>0</v>
      </c>
      <c r="S73" s="649">
        <f t="shared" ca="1" si="17"/>
        <v>0</v>
      </c>
      <c r="T73" s="648">
        <f>'S&amp;U'!J22</f>
        <v>0</v>
      </c>
      <c r="U73" s="650">
        <f t="shared" ca="1" si="18"/>
        <v>0</v>
      </c>
    </row>
    <row r="74" spans="2:21" ht="19" customHeight="1" x14ac:dyDescent="0.35">
      <c r="B74" s="631" t="s">
        <v>618</v>
      </c>
      <c r="C74" s="632"/>
      <c r="D74" s="632"/>
      <c r="E74" s="670">
        <f>Assumptions!F58</f>
        <v>739.02104097452923</v>
      </c>
      <c r="F74" s="745">
        <f>Assumptions!F57</f>
        <v>12.133381818181819</v>
      </c>
      <c r="G74" s="670"/>
      <c r="H74" s="671"/>
      <c r="J74" s="628"/>
      <c r="L74" s="608" t="s">
        <v>633</v>
      </c>
      <c r="M74" s="581"/>
      <c r="N74" s="581"/>
      <c r="O74" s="648">
        <f t="shared" ca="1" si="15"/>
        <v>177420785.03975794</v>
      </c>
      <c r="P74" s="648">
        <f ca="1">'S&amp;U'!H23</f>
        <v>64159011.937496722</v>
      </c>
      <c r="Q74" s="649">
        <f t="shared" ca="1" si="16"/>
        <v>0.16054013279063892</v>
      </c>
      <c r="R74" s="648">
        <f ca="1">'S&amp;U'!I23</f>
        <v>36280072.373549581</v>
      </c>
      <c r="S74" s="649">
        <f t="shared" ca="1" si="17"/>
        <v>0.16361292823693283</v>
      </c>
      <c r="T74" s="648">
        <f ca="1">'S&amp;U'!J23</f>
        <v>76981700.404558539</v>
      </c>
      <c r="U74" s="650">
        <f t="shared" ca="1" si="18"/>
        <v>0.19560972464530876</v>
      </c>
    </row>
    <row r="75" spans="2:21" ht="19" customHeight="1" x14ac:dyDescent="0.25">
      <c r="J75" s="628"/>
      <c r="L75" s="739" t="s">
        <v>96</v>
      </c>
      <c r="M75" s="740"/>
      <c r="N75" s="740"/>
      <c r="O75" s="741">
        <f t="shared" ca="1" si="15"/>
        <v>1014935412.2355201</v>
      </c>
      <c r="P75" s="741">
        <f ca="1">'S&amp;U'!H26</f>
        <v>399644692.09183204</v>
      </c>
      <c r="Q75" s="742"/>
      <c r="R75" s="741">
        <f ca="1">'S&amp;U'!I26</f>
        <v>221743310.6570363</v>
      </c>
      <c r="S75" s="742"/>
      <c r="T75" s="741">
        <f ca="1">'S&amp;U'!J26</f>
        <v>393547409.48665184</v>
      </c>
      <c r="U75" s="743"/>
    </row>
    <row r="76" spans="2:21" ht="19" customHeight="1" x14ac:dyDescent="0.35">
      <c r="B76" s="565" t="s">
        <v>723</v>
      </c>
      <c r="C76" s="566"/>
      <c r="D76" s="566"/>
      <c r="E76" s="674" t="s">
        <v>724</v>
      </c>
      <c r="F76" s="674" t="s">
        <v>719</v>
      </c>
      <c r="G76" s="656" t="s">
        <v>720</v>
      </c>
      <c r="H76" s="569" t="s">
        <v>116</v>
      </c>
      <c r="J76" s="628"/>
      <c r="L76" s="647" t="s">
        <v>716</v>
      </c>
      <c r="M76" s="581"/>
      <c r="N76" s="581"/>
      <c r="O76" s="648"/>
      <c r="P76" s="653"/>
      <c r="Q76" s="654"/>
      <c r="R76" s="653"/>
      <c r="S76" s="654"/>
      <c r="T76" s="653"/>
      <c r="U76" s="655"/>
    </row>
    <row r="77" spans="2:21" ht="19" customHeight="1" x14ac:dyDescent="0.35">
      <c r="B77" s="570"/>
      <c r="C77" s="571"/>
      <c r="D77" s="629"/>
      <c r="E77" s="602"/>
      <c r="F77" s="602" t="s">
        <v>119</v>
      </c>
      <c r="G77" s="602" t="s">
        <v>721</v>
      </c>
      <c r="H77" s="603" t="s">
        <v>721</v>
      </c>
      <c r="J77" s="628"/>
      <c r="L77" s="608" t="s">
        <v>61</v>
      </c>
      <c r="M77" s="581"/>
      <c r="N77" s="581"/>
      <c r="O77" s="648">
        <f t="shared" ref="O77:O83" ca="1" si="19">SUM(P77:T77)</f>
        <v>16840711.128101908</v>
      </c>
      <c r="P77" s="648">
        <f>'S&amp;U'!H29</f>
        <v>6900151</v>
      </c>
      <c r="Q77" s="649">
        <f t="shared" ref="Q77:Q83" ca="1" si="20">P77/P$84</f>
        <v>1.7265714111910323E-2</v>
      </c>
      <c r="R77" s="648">
        <f>'S&amp;U'!I29</f>
        <v>818973.10714285716</v>
      </c>
      <c r="S77" s="649">
        <f t="shared" ref="S77:S83" ca="1" si="21">R77/R$84</f>
        <v>3.6933385034984808E-3</v>
      </c>
      <c r="T77" s="648">
        <f>'S&amp;U'!J29</f>
        <v>9121587</v>
      </c>
      <c r="U77" s="650">
        <f t="shared" ref="U77:U83" ca="1" si="22">T77/T$84</f>
        <v>2.3177860608708648E-2</v>
      </c>
    </row>
    <row r="78" spans="2:21" ht="19" customHeight="1" x14ac:dyDescent="0.25">
      <c r="B78" s="606" t="s">
        <v>25</v>
      </c>
      <c r="C78" s="581"/>
      <c r="D78" s="581"/>
      <c r="E78" s="581"/>
      <c r="F78" s="581"/>
      <c r="G78" s="581"/>
      <c r="H78" s="582"/>
      <c r="J78" s="628"/>
      <c r="L78" s="608" t="s">
        <v>8</v>
      </c>
      <c r="M78" s="581"/>
      <c r="N78" s="581"/>
      <c r="O78" s="648">
        <f t="shared" ca="1" si="19"/>
        <v>71309821.971830785</v>
      </c>
      <c r="P78" s="648">
        <f>'S&amp;U'!H30</f>
        <v>31353547.897872344</v>
      </c>
      <c r="Q78" s="649">
        <f t="shared" ca="1" si="20"/>
        <v>7.8453557668339544E-2</v>
      </c>
      <c r="R78" s="648">
        <f>'S&amp;U'!I30</f>
        <v>10461100</v>
      </c>
      <c r="S78" s="649">
        <f t="shared" ca="1" si="21"/>
        <v>4.7176620431088757E-2</v>
      </c>
      <c r="T78" s="648">
        <f>'S&amp;U'!J30</f>
        <v>29495173.948328272</v>
      </c>
      <c r="U78" s="650">
        <f t="shared" ca="1" si="22"/>
        <v>7.4946939650300692E-2</v>
      </c>
    </row>
    <row r="79" spans="2:21" ht="19" customHeight="1" x14ac:dyDescent="0.35">
      <c r="B79" s="608" t="str">
        <f>B32</f>
        <v>Conventional Retail</v>
      </c>
      <c r="C79" s="581"/>
      <c r="D79" s="609"/>
      <c r="E79" s="600" t="s">
        <v>740</v>
      </c>
      <c r="F79" s="744">
        <f>Assumptions!F126</f>
        <v>23</v>
      </c>
      <c r="G79" s="675">
        <f>Assumptions!$M$65/Assumptions!$M$66</f>
        <v>0.02</v>
      </c>
      <c r="H79" s="676">
        <f>Assumptions!M56</f>
        <v>0.1</v>
      </c>
      <c r="L79" s="608" t="s">
        <v>57</v>
      </c>
      <c r="M79" s="581"/>
      <c r="N79" s="581"/>
      <c r="O79" s="648">
        <f t="shared" ca="1" si="19"/>
        <v>762870571.72375393</v>
      </c>
      <c r="P79" s="648">
        <f ca="1">'S&amp;U'!H31</f>
        <v>297663456.66999996</v>
      </c>
      <c r="Q79" s="649">
        <f t="shared" ca="1" si="20"/>
        <v>0.74482024298123695</v>
      </c>
      <c r="R79" s="648">
        <f ca="1">'S&amp;U'!I31</f>
        <v>174155529.98339999</v>
      </c>
      <c r="S79" s="649">
        <f t="shared" ca="1" si="21"/>
        <v>0.78539248587643351</v>
      </c>
      <c r="T79" s="648">
        <f ca="1">'S&amp;U'!J31</f>
        <v>291051583.54014122</v>
      </c>
      <c r="U79" s="650">
        <f t="shared" ca="1" si="22"/>
        <v>0.73955913957048414</v>
      </c>
    </row>
    <row r="80" spans="2:21" ht="19" customHeight="1" x14ac:dyDescent="0.35">
      <c r="B80" s="608" t="str">
        <f>B33</f>
        <v>Food Hall</v>
      </c>
      <c r="C80" s="581"/>
      <c r="D80" s="609"/>
      <c r="E80" s="600" t="s">
        <v>740</v>
      </c>
      <c r="F80" s="744">
        <f>Assumptions!F134</f>
        <v>28</v>
      </c>
      <c r="G80" s="675">
        <f>Assumptions!$M$65/Assumptions!$M$66</f>
        <v>0.02</v>
      </c>
      <c r="H80" s="676">
        <f>$H$79</f>
        <v>0.1</v>
      </c>
      <c r="L80" s="608" t="s">
        <v>58</v>
      </c>
      <c r="M80" s="581"/>
      <c r="N80" s="581"/>
      <c r="O80" s="648">
        <f t="shared" ca="1" si="19"/>
        <v>61041787.965107337</v>
      </c>
      <c r="P80" s="648">
        <f ca="1">'S&amp;U'!H32</f>
        <v>23359191.388517704</v>
      </c>
      <c r="Q80" s="649">
        <f t="shared" ca="1" si="20"/>
        <v>5.8449897748548432E-2</v>
      </c>
      <c r="R80" s="648">
        <f ca="1">'S&amp;U'!I32</f>
        <v>13372221.469901217</v>
      </c>
      <c r="S80" s="649">
        <f t="shared" ca="1" si="21"/>
        <v>6.0304959956982103E-2</v>
      </c>
      <c r="T80" s="648">
        <f ca="1">'S&amp;U'!J32</f>
        <v>24310374.98793355</v>
      </c>
      <c r="U80" s="650">
        <f t="shared" ca="1" si="22"/>
        <v>6.1772417761926844E-2</v>
      </c>
    </row>
    <row r="81" spans="2:32" ht="19" customHeight="1" x14ac:dyDescent="0.35">
      <c r="B81" s="631" t="s">
        <v>618</v>
      </c>
      <c r="C81" s="632"/>
      <c r="D81" s="632"/>
      <c r="E81" s="713"/>
      <c r="F81" s="745">
        <f>Assumptions!E138</f>
        <v>24.162174973177134</v>
      </c>
      <c r="G81" s="677">
        <f>+SUMPRODUCT(G79:G80,$F79:$F80)/$F81</f>
        <v>4.2214742718001193E-2</v>
      </c>
      <c r="H81" s="678">
        <f>+SUMPRODUCT(H79:H80,$F79:$F80)/SUM($F79:$F80)</f>
        <v>0.1</v>
      </c>
      <c r="L81" s="608" t="s">
        <v>80</v>
      </c>
      <c r="M81" s="581"/>
      <c r="N81" s="581"/>
      <c r="O81" s="648">
        <f t="shared" ca="1" si="19"/>
        <v>71801801.934825689</v>
      </c>
      <c r="P81" s="648">
        <f ca="1">'S&amp;U'!H33</f>
        <v>28164860.643364143</v>
      </c>
      <c r="Q81" s="649">
        <f t="shared" ca="1" si="20"/>
        <v>7.047475220036778E-2</v>
      </c>
      <c r="R81" s="648">
        <f ca="1">'S&amp;U'!I33</f>
        <v>16056189.021147538</v>
      </c>
      <c r="S81" s="649">
        <f t="shared" ca="1" si="21"/>
        <v>7.2408899161703066E-2</v>
      </c>
      <c r="T81" s="648">
        <f ca="1">'S&amp;U'!J33</f>
        <v>27580752.127430357</v>
      </c>
      <c r="U81" s="650">
        <f t="shared" ca="1" si="22"/>
        <v>7.0082413103435326E-2</v>
      </c>
    </row>
    <row r="82" spans="2:32" ht="19" customHeight="1" x14ac:dyDescent="0.35">
      <c r="B82" s="606" t="s">
        <v>148</v>
      </c>
      <c r="C82" s="581"/>
      <c r="D82" s="581"/>
      <c r="E82" s="581"/>
      <c r="F82" s="744"/>
      <c r="G82" s="675"/>
      <c r="H82" s="676"/>
      <c r="L82" s="608" t="s">
        <v>83</v>
      </c>
      <c r="M82" s="581"/>
      <c r="N82" s="581"/>
      <c r="O82" s="648">
        <f t="shared" ca="1" si="19"/>
        <v>2000000.0039175621</v>
      </c>
      <c r="P82" s="648">
        <f ca="1">'S&amp;U'!H34</f>
        <v>764323.10105370777</v>
      </c>
      <c r="Q82" s="649">
        <f t="shared" ca="1" si="20"/>
        <v>1.9125065744100471E-3</v>
      </c>
      <c r="R82" s="648">
        <f ca="1">'S&amp;U'!I34</f>
        <v>444607.63224393112</v>
      </c>
      <c r="S82" s="649">
        <f t="shared" ca="1" si="21"/>
        <v>2.0050554441824507E-3</v>
      </c>
      <c r="T82" s="648">
        <f ca="1">'S&amp;U'!J34</f>
        <v>791069.26670236117</v>
      </c>
      <c r="U82" s="650">
        <f t="shared" ca="1" si="22"/>
        <v>2.010099031611571E-3</v>
      </c>
    </row>
    <row r="83" spans="2:32" ht="19" customHeight="1" x14ac:dyDescent="0.35">
      <c r="B83" s="608" t="str">
        <f>B36</f>
        <v>Conventional Office</v>
      </c>
      <c r="C83" s="581"/>
      <c r="D83" s="609"/>
      <c r="E83" s="600" t="s">
        <v>740</v>
      </c>
      <c r="F83" s="744">
        <f>Assumptions!F161</f>
        <v>24</v>
      </c>
      <c r="G83" s="675">
        <f>Assumptions!M70/Assumptions!M71</f>
        <v>0.02</v>
      </c>
      <c r="H83" s="676">
        <f>Assumptions!M58</f>
        <v>0.1</v>
      </c>
      <c r="L83" s="608" t="s">
        <v>60</v>
      </c>
      <c r="M83" s="581"/>
      <c r="N83" s="581"/>
      <c r="O83" s="648">
        <f t="shared" ca="1" si="19"/>
        <v>29070719.507983051</v>
      </c>
      <c r="P83" s="648">
        <f ca="1">'S&amp;U'!H35</f>
        <v>11439161.391024234</v>
      </c>
      <c r="Q83" s="649">
        <f t="shared" ca="1" si="20"/>
        <v>2.8623328715187076E-2</v>
      </c>
      <c r="R83" s="648">
        <f ca="1">'S&amp;U'!I35</f>
        <v>6434689.4432007801</v>
      </c>
      <c r="S83" s="649">
        <f t="shared" ca="1" si="21"/>
        <v>2.9018640626111696E-2</v>
      </c>
      <c r="T83" s="648">
        <f ca="1">'S&amp;U'!J35</f>
        <v>11196868.616116071</v>
      </c>
      <c r="U83" s="650">
        <f t="shared" ca="1" si="22"/>
        <v>2.8451130273532754E-2</v>
      </c>
    </row>
    <row r="84" spans="2:32" ht="19" customHeight="1" x14ac:dyDescent="0.35">
      <c r="B84" s="631" t="s">
        <v>618</v>
      </c>
      <c r="C84" s="632"/>
      <c r="D84" s="632"/>
      <c r="E84" s="713"/>
      <c r="F84" s="745">
        <f>Assumptions!F173</f>
        <v>24</v>
      </c>
      <c r="G84" s="677">
        <f>G83</f>
        <v>0.02</v>
      </c>
      <c r="H84" s="679">
        <f>+H83</f>
        <v>0.1</v>
      </c>
      <c r="L84" s="739" t="s">
        <v>97</v>
      </c>
      <c r="M84" s="740"/>
      <c r="N84" s="740"/>
      <c r="O84" s="741">
        <f ca="1">SUM(P84:T84)</f>
        <v>1014935412.2355201</v>
      </c>
      <c r="P84" s="741">
        <f ca="1">'S&amp;U'!H36</f>
        <v>399644692.09183204</v>
      </c>
      <c r="Q84" s="742"/>
      <c r="R84" s="741">
        <f ca="1">'S&amp;U'!I36</f>
        <v>221743310.6570363</v>
      </c>
      <c r="S84" s="742"/>
      <c r="T84" s="741">
        <f ca="1">'S&amp;U'!J36</f>
        <v>393547409.48665184</v>
      </c>
      <c r="U84" s="743"/>
    </row>
    <row r="85" spans="2:32" ht="19" customHeight="1" x14ac:dyDescent="0.35">
      <c r="B85" s="606" t="s">
        <v>707</v>
      </c>
      <c r="C85" s="581"/>
      <c r="D85" s="581"/>
      <c r="E85" s="581"/>
      <c r="F85" s="744"/>
      <c r="G85" s="675"/>
      <c r="H85" s="676"/>
      <c r="L85" s="608"/>
      <c r="M85" s="567"/>
      <c r="N85" s="567"/>
      <c r="O85" s="648"/>
      <c r="P85" s="648"/>
      <c r="Q85" s="651"/>
      <c r="R85" s="648"/>
      <c r="S85" s="651"/>
      <c r="T85" s="648"/>
      <c r="U85" s="652"/>
    </row>
    <row r="86" spans="2:32" ht="19" customHeight="1" x14ac:dyDescent="0.35">
      <c r="B86" s="608" t="str">
        <f>B39</f>
        <v>Supply Unchained Logistics Center</v>
      </c>
      <c r="C86" s="581"/>
      <c r="D86" s="609"/>
      <c r="E86" s="600" t="s">
        <v>739</v>
      </c>
      <c r="F86" s="744">
        <f>Assumptions!F211</f>
        <v>12</v>
      </c>
      <c r="G86" s="675">
        <f>Assumptions!M72/Assumptions!M73</f>
        <v>0.02</v>
      </c>
      <c r="H86" s="676">
        <f>Assumptions!M59</f>
        <v>0.06</v>
      </c>
      <c r="L86" s="612" t="s">
        <v>669</v>
      </c>
      <c r="M86" s="581"/>
      <c r="N86" s="581"/>
      <c r="O86" s="648"/>
      <c r="P86" s="667"/>
      <c r="Q86" s="668"/>
      <c r="R86" s="667"/>
      <c r="S86" s="668"/>
      <c r="T86" s="667"/>
      <c r="U86" s="669"/>
    </row>
    <row r="87" spans="2:32" ht="19" customHeight="1" x14ac:dyDescent="0.35">
      <c r="B87" s="631" t="s">
        <v>618</v>
      </c>
      <c r="C87" s="632"/>
      <c r="D87" s="632"/>
      <c r="E87" s="634"/>
      <c r="F87" s="745">
        <f>Assumptions!E219</f>
        <v>12.989185919993636</v>
      </c>
      <c r="G87" s="677">
        <f>+G86</f>
        <v>0.02</v>
      </c>
      <c r="H87" s="679">
        <f>+H86</f>
        <v>0.06</v>
      </c>
      <c r="L87" s="647" t="s">
        <v>715</v>
      </c>
      <c r="M87" s="581"/>
      <c r="N87" s="581"/>
      <c r="O87" s="648"/>
      <c r="P87" s="653"/>
      <c r="Q87" s="654"/>
      <c r="R87" s="653"/>
      <c r="S87" s="654"/>
      <c r="T87" s="653"/>
      <c r="U87" s="655"/>
      <c r="W87" s="581"/>
      <c r="X87" s="581"/>
      <c r="Y87" s="581"/>
      <c r="Z87" s="648"/>
      <c r="AA87" s="648"/>
      <c r="AB87" s="649"/>
      <c r="AC87" s="648"/>
      <c r="AD87" s="649"/>
      <c r="AE87" s="648"/>
      <c r="AF87" s="650"/>
    </row>
    <row r="88" spans="2:32" ht="19" customHeight="1" x14ac:dyDescent="0.25">
      <c r="L88" s="608" t="s">
        <v>759</v>
      </c>
      <c r="M88" s="581"/>
      <c r="N88" s="581"/>
      <c r="O88" s="648">
        <f t="shared" ref="O88:O91" ca="1" si="23">SUM(P88:T88)</f>
        <v>570104494.75101185</v>
      </c>
      <c r="P88" s="648">
        <f ca="1">'S&amp;U'!R17</f>
        <v>213275542.18726224</v>
      </c>
      <c r="Q88" s="649">
        <f t="shared" ref="Q88:Q95" ca="1" si="24">P88/P$96</f>
        <v>0.53366289208278761</v>
      </c>
      <c r="R88" s="648">
        <f ca="1">'S&amp;U'!S17</f>
        <v>119131014.3601854</v>
      </c>
      <c r="S88" s="649">
        <f t="shared" ref="S88:S95" ca="1" si="25">R88/R$96</f>
        <v>0.53724738756354973</v>
      </c>
      <c r="T88" s="648">
        <f ca="1">'S&amp;U'!T17</f>
        <v>237697937.13265392</v>
      </c>
      <c r="U88" s="650">
        <f t="shared" ref="U88:U95" ca="1" si="26">T88/T$96</f>
        <v>0.60398806192806631</v>
      </c>
    </row>
    <row r="89" spans="2:32" ht="19" customHeight="1" x14ac:dyDescent="0.35">
      <c r="B89" s="680" t="s">
        <v>725</v>
      </c>
      <c r="C89" s="681"/>
      <c r="D89" s="681"/>
      <c r="E89" s="682"/>
      <c r="F89" s="798" t="s">
        <v>245</v>
      </c>
      <c r="G89" s="798"/>
      <c r="H89" s="799"/>
      <c r="L89" s="608" t="s">
        <v>167</v>
      </c>
      <c r="M89" s="581"/>
      <c r="N89" s="581"/>
      <c r="O89" s="648">
        <f t="shared" ca="1" si="23"/>
        <v>106156329.04881638</v>
      </c>
      <c r="P89" s="648">
        <f ca="1">'S&amp;U'!R18</f>
        <v>61492153.068216205</v>
      </c>
      <c r="Q89" s="649">
        <f t="shared" ca="1" si="24"/>
        <v>0.1538670581269381</v>
      </c>
      <c r="R89" s="648">
        <f ca="1">'S&amp;U'!S18</f>
        <v>38593085.568527728</v>
      </c>
      <c r="S89" s="649">
        <f t="shared" ca="1" si="25"/>
        <v>0.17404396756851209</v>
      </c>
      <c r="T89" s="648">
        <f ca="1">'S&amp;U'!T18</f>
        <v>6071090.084161412</v>
      </c>
      <c r="U89" s="650">
        <f t="shared" ca="1" si="26"/>
        <v>1.5426578698817044E-2</v>
      </c>
    </row>
    <row r="90" spans="2:32" ht="19" customHeight="1" x14ac:dyDescent="0.35">
      <c r="B90" s="683"/>
      <c r="C90" s="684"/>
      <c r="D90" s="685"/>
      <c r="E90" s="686" t="s">
        <v>156</v>
      </c>
      <c r="F90" s="686" t="s">
        <v>205</v>
      </c>
      <c r="G90" s="686" t="s">
        <v>243</v>
      </c>
      <c r="H90" s="687" t="s">
        <v>244</v>
      </c>
      <c r="L90" s="608" t="s">
        <v>265</v>
      </c>
      <c r="M90" s="581"/>
      <c r="N90" s="581"/>
      <c r="O90" s="648">
        <f t="shared" ca="1" si="23"/>
        <v>39065366.330291457</v>
      </c>
      <c r="P90" s="648">
        <f ca="1">'S&amp;U'!R19</f>
        <v>1.5381818181818178E-4</v>
      </c>
      <c r="Q90" s="649">
        <f t="shared" ca="1" si="24"/>
        <v>3.8488733833311312E-13</v>
      </c>
      <c r="R90" s="648">
        <f ca="1">'S&amp;U'!S19</f>
        <v>1.6003243636363636E-4</v>
      </c>
      <c r="S90" s="649">
        <f t="shared" ca="1" si="25"/>
        <v>7.2170130359041005E-13</v>
      </c>
      <c r="T90" s="648">
        <f ca="1">'S&amp;U'!T19</f>
        <v>39065366.329977609</v>
      </c>
      <c r="U90" s="650">
        <f t="shared" ca="1" si="26"/>
        <v>9.9264702011213748E-2</v>
      </c>
    </row>
    <row r="91" spans="2:32" ht="19" customHeight="1" x14ac:dyDescent="0.25">
      <c r="B91" s="606" t="s">
        <v>26</v>
      </c>
      <c r="C91" s="581"/>
      <c r="D91" s="581"/>
      <c r="E91" s="581"/>
      <c r="F91" s="581"/>
      <c r="G91" s="581"/>
      <c r="H91" s="582"/>
      <c r="L91" s="608" t="s">
        <v>98</v>
      </c>
      <c r="M91" s="581"/>
      <c r="N91" s="581"/>
      <c r="O91" s="648">
        <f t="shared" ca="1" si="23"/>
        <v>182048916.8689982</v>
      </c>
      <c r="P91" s="648">
        <f ca="1">'S&amp;U'!R20</f>
        <v>74189767.741794825</v>
      </c>
      <c r="Q91" s="649">
        <f t="shared" ca="1" si="24"/>
        <v>0.18563931714811113</v>
      </c>
      <c r="R91" s="648">
        <f ca="1">'S&amp;U'!S20</f>
        <v>43584912.158747993</v>
      </c>
      <c r="S91" s="649">
        <f t="shared" ca="1" si="25"/>
        <v>0.19655570231004382</v>
      </c>
      <c r="T91" s="648">
        <f ca="1">'S&amp;U'!T20</f>
        <v>64274236.586260393</v>
      </c>
      <c r="U91" s="650">
        <f t="shared" ca="1" si="26"/>
        <v>0.16332018719193328</v>
      </c>
    </row>
    <row r="92" spans="2:32" ht="19" customHeight="1" x14ac:dyDescent="0.35">
      <c r="B92" s="608" t="s">
        <v>589</v>
      </c>
      <c r="C92" s="581"/>
      <c r="D92" s="581"/>
      <c r="E92" s="581"/>
      <c r="F92" s="689" t="s">
        <v>735</v>
      </c>
      <c r="G92" s="689" t="s">
        <v>736</v>
      </c>
      <c r="H92" s="690" t="s">
        <v>737</v>
      </c>
      <c r="L92" s="608" t="s">
        <v>622</v>
      </c>
      <c r="M92" s="581"/>
      <c r="N92" s="581"/>
      <c r="O92" s="648">
        <f ca="1">SUM(P92:T92)</f>
        <v>32172132.995907001</v>
      </c>
      <c r="P92" s="648">
        <f>'S&amp;U'!R22</f>
        <v>12714766.389964083</v>
      </c>
      <c r="Q92" s="649">
        <f t="shared" ca="1" si="24"/>
        <v>3.1815176434377444E-2</v>
      </c>
      <c r="R92" s="648">
        <f>'S&amp;U'!S22</f>
        <v>8832339.7304545473</v>
      </c>
      <c r="S92" s="649">
        <f t="shared" ca="1" si="25"/>
        <v>3.983136945274196E-2</v>
      </c>
      <c r="T92" s="648">
        <f>'S&amp;U'!T22</f>
        <v>10625026.803841824</v>
      </c>
      <c r="U92" s="650">
        <f t="shared" ca="1" si="26"/>
        <v>2.6998085993505182E-2</v>
      </c>
    </row>
    <row r="93" spans="2:32" ht="19" customHeight="1" x14ac:dyDescent="0.35">
      <c r="B93" s="608" t="s">
        <v>301</v>
      </c>
      <c r="C93" s="581"/>
      <c r="D93" s="581"/>
      <c r="E93" s="665">
        <f>Assumptions!E96</f>
        <v>0.7</v>
      </c>
      <c r="F93" s="664">
        <f>Assumptions!F97</f>
        <v>180</v>
      </c>
      <c r="G93" s="664">
        <f>Assumptions!G97</f>
        <v>135</v>
      </c>
      <c r="H93" s="688">
        <f>Assumptions!H97</f>
        <v>160</v>
      </c>
      <c r="L93" s="608" t="s">
        <v>628</v>
      </c>
      <c r="M93" s="581"/>
      <c r="N93" s="581"/>
      <c r="O93" s="648">
        <f ca="1">SUM(P93:T93)</f>
        <v>11076000.013919707</v>
      </c>
      <c r="P93" s="648">
        <f>'S&amp;U'!R23</f>
        <v>5538000</v>
      </c>
      <c r="Q93" s="649">
        <f t="shared" ca="1" si="24"/>
        <v>1.3857309028709569E-2</v>
      </c>
      <c r="R93" s="648">
        <f>'S&amp;U'!S23</f>
        <v>6.2400000000000012E-5</v>
      </c>
      <c r="S93" s="649">
        <f t="shared" ca="1" si="25"/>
        <v>2.814064596361701E-13</v>
      </c>
      <c r="T93" s="648">
        <f>'S&amp;U'!T23</f>
        <v>5538000</v>
      </c>
      <c r="U93" s="650">
        <f t="shared" ca="1" si="26"/>
        <v>1.4072002169252839E-2</v>
      </c>
    </row>
    <row r="94" spans="2:32" ht="19" customHeight="1" x14ac:dyDescent="0.35">
      <c r="B94" s="699" t="str">
        <f>Assumptions!B95</f>
        <v>RevPAR</v>
      </c>
      <c r="C94" s="640"/>
      <c r="D94" s="640"/>
      <c r="E94" s="691"/>
      <c r="F94" s="692">
        <f>Assumptions!F95</f>
        <v>125.99999999999999</v>
      </c>
      <c r="G94" s="692">
        <f>Assumptions!G95</f>
        <v>94.5</v>
      </c>
      <c r="H94" s="693">
        <f>Assumptions!H95</f>
        <v>112</v>
      </c>
      <c r="L94" s="608" t="s">
        <v>621</v>
      </c>
      <c r="M94" s="581"/>
      <c r="N94" s="581"/>
      <c r="O94" s="648">
        <f ca="1">SUM(P94:T94)</f>
        <v>3256330.7756253006</v>
      </c>
      <c r="P94" s="648">
        <f ca="1">'S&amp;U'!R24</f>
        <v>3256330.7674772362</v>
      </c>
      <c r="Q94" s="649">
        <f t="shared" ca="1" si="24"/>
        <v>8.1480645981630677E-3</v>
      </c>
      <c r="R94" s="648">
        <f>'S&amp;U'!S24</f>
        <v>0</v>
      </c>
      <c r="S94" s="649">
        <f t="shared" ca="1" si="25"/>
        <v>0</v>
      </c>
      <c r="T94" s="648">
        <f>'S&amp;U'!T24</f>
        <v>0</v>
      </c>
      <c r="U94" s="650">
        <f t="shared" ca="1" si="26"/>
        <v>0</v>
      </c>
    </row>
    <row r="95" spans="2:32" ht="19" customHeight="1" x14ac:dyDescent="0.25">
      <c r="G95" s="737"/>
      <c r="H95" s="737"/>
      <c r="L95" s="608" t="s">
        <v>633</v>
      </c>
      <c r="M95" s="581"/>
      <c r="N95" s="581"/>
      <c r="O95" s="648">
        <f ca="1">SUM(P95:T95)</f>
        <v>71055843.450950176</v>
      </c>
      <c r="P95" s="648">
        <f ca="1">'S&amp;U'!R25</f>
        <v>29178131.936963618</v>
      </c>
      <c r="Q95" s="649">
        <f t="shared" ca="1" si="24"/>
        <v>7.301018258052816E-2</v>
      </c>
      <c r="R95" s="648">
        <f ca="1">'S&amp;U'!S25</f>
        <v>11601958.838898182</v>
      </c>
      <c r="S95" s="649">
        <f t="shared" ca="1" si="25"/>
        <v>5.2321573104149158E-2</v>
      </c>
      <c r="T95" s="648">
        <f ca="1">'S&amp;U'!T25</f>
        <v>30275752.549756706</v>
      </c>
      <c r="U95" s="650">
        <f t="shared" ca="1" si="26"/>
        <v>7.6930382007211723E-2</v>
      </c>
    </row>
    <row r="96" spans="2:32" ht="19" customHeight="1" x14ac:dyDescent="0.35">
      <c r="B96" s="680" t="s">
        <v>726</v>
      </c>
      <c r="C96" s="681"/>
      <c r="D96" s="681"/>
      <c r="E96" s="711" t="s">
        <v>724</v>
      </c>
      <c r="F96" s="694" t="s">
        <v>727</v>
      </c>
      <c r="G96" s="694" t="s">
        <v>720</v>
      </c>
      <c r="H96" s="695" t="s">
        <v>116</v>
      </c>
      <c r="L96" s="739" t="s">
        <v>96</v>
      </c>
      <c r="M96" s="740"/>
      <c r="N96" s="740"/>
      <c r="O96" s="741">
        <f ca="1">SUM(P96:T96)</f>
        <v>1014935412.2355201</v>
      </c>
      <c r="P96" s="741">
        <f ca="1">'S&amp;U'!R26</f>
        <v>399644692.09183204</v>
      </c>
      <c r="Q96" s="742"/>
      <c r="R96" s="741">
        <f ca="1">'S&amp;U'!S26</f>
        <v>221743310.6570363</v>
      </c>
      <c r="S96" s="742"/>
      <c r="T96" s="741">
        <f ca="1">'S&amp;U'!T26</f>
        <v>393547409.48665184</v>
      </c>
      <c r="U96" s="743"/>
    </row>
    <row r="97" spans="2:21" ht="19" customHeight="1" x14ac:dyDescent="0.35">
      <c r="B97" s="683"/>
      <c r="C97" s="696"/>
      <c r="D97" s="697"/>
      <c r="E97" s="698"/>
      <c r="F97" s="698" t="s">
        <v>728</v>
      </c>
      <c r="G97" s="698" t="s">
        <v>721</v>
      </c>
      <c r="H97" s="687" t="s">
        <v>721</v>
      </c>
      <c r="L97" s="647" t="s">
        <v>716</v>
      </c>
      <c r="M97" s="581"/>
      <c r="N97" s="581"/>
      <c r="O97" s="648"/>
      <c r="P97" s="653"/>
      <c r="Q97" s="654"/>
      <c r="R97" s="653"/>
      <c r="S97" s="654"/>
      <c r="T97" s="653"/>
      <c r="U97" s="655"/>
    </row>
    <row r="98" spans="2:21" ht="19" customHeight="1" x14ac:dyDescent="0.25">
      <c r="B98" s="700" t="s">
        <v>713</v>
      </c>
      <c r="C98" s="701"/>
      <c r="D98" s="701"/>
      <c r="E98" s="702"/>
      <c r="F98" s="701"/>
      <c r="G98" s="701"/>
      <c r="H98" s="703"/>
      <c r="L98" s="608" t="s">
        <v>61</v>
      </c>
      <c r="M98" s="581"/>
      <c r="N98" s="581"/>
      <c r="O98" s="648">
        <f t="shared" ref="O98" ca="1" si="27">SUM(P98:T98)</f>
        <v>16840711.128101908</v>
      </c>
      <c r="P98" s="648">
        <f>'S&amp;U'!R29</f>
        <v>6900151</v>
      </c>
      <c r="Q98" s="649">
        <f t="shared" ref="Q98:Q104" ca="1" si="28">P98/P$105</f>
        <v>1.7265714111910323E-2</v>
      </c>
      <c r="R98" s="648">
        <f>'S&amp;U'!S29</f>
        <v>818973.10714285716</v>
      </c>
      <c r="S98" s="649">
        <f t="shared" ref="S98:S104" ca="1" si="29">R98/R$105</f>
        <v>3.6933385034984808E-3</v>
      </c>
      <c r="T98" s="648">
        <f>'S&amp;U'!T29</f>
        <v>9121587</v>
      </c>
      <c r="U98" s="650">
        <f t="shared" ref="U98:U104" ca="1" si="30">T98/T$105</f>
        <v>2.3177860608708648E-2</v>
      </c>
    </row>
    <row r="99" spans="2:21" ht="19" customHeight="1" x14ac:dyDescent="0.25">
      <c r="B99" s="663" t="s">
        <v>480</v>
      </c>
      <c r="C99" s="701"/>
      <c r="D99" s="704"/>
      <c r="E99" s="705" t="s">
        <v>741</v>
      </c>
      <c r="F99" s="747">
        <f>Assumptions!F143</f>
        <v>0</v>
      </c>
      <c r="G99" s="706">
        <f>Assumptions!$M$68/Assumptions!$M$69</f>
        <v>0.01</v>
      </c>
      <c r="H99" s="707">
        <f>Assumptions!$M$57</f>
        <v>0.05</v>
      </c>
      <c r="L99" s="608" t="s">
        <v>8</v>
      </c>
      <c r="M99" s="581"/>
      <c r="N99" s="581"/>
      <c r="O99" s="648">
        <f t="shared" ref="O99:O105" ca="1" si="31">SUM(P99:T99)</f>
        <v>71309821.971830785</v>
      </c>
      <c r="P99" s="648">
        <f>'S&amp;U'!R30</f>
        <v>31353547.897872344</v>
      </c>
      <c r="Q99" s="649">
        <f t="shared" ca="1" si="28"/>
        <v>7.8453557668339544E-2</v>
      </c>
      <c r="R99" s="648">
        <f>'S&amp;U'!S30</f>
        <v>10461100</v>
      </c>
      <c r="S99" s="649">
        <f t="shared" ca="1" si="29"/>
        <v>4.7176620431088757E-2</v>
      </c>
      <c r="T99" s="648">
        <f>'S&amp;U'!T30</f>
        <v>29495173.948328272</v>
      </c>
      <c r="U99" s="676">
        <f t="shared" ca="1" si="30"/>
        <v>7.4946939650300692E-2</v>
      </c>
    </row>
    <row r="100" spans="2:21" ht="19" customHeight="1" x14ac:dyDescent="0.25">
      <c r="B100" s="663" t="s">
        <v>380</v>
      </c>
      <c r="C100" s="701"/>
      <c r="D100" s="704"/>
      <c r="E100" s="705" t="s">
        <v>740</v>
      </c>
      <c r="F100" s="747">
        <f>Assumptions!H147</f>
        <v>10</v>
      </c>
      <c r="G100" s="706">
        <f>Assumptions!$M$68/Assumptions!$M$69</f>
        <v>0.01</v>
      </c>
      <c r="H100" s="707">
        <f>Assumptions!$M$57</f>
        <v>0.05</v>
      </c>
      <c r="L100" s="608" t="s">
        <v>57</v>
      </c>
      <c r="M100" s="581"/>
      <c r="N100" s="581"/>
      <c r="O100" s="648">
        <f t="shared" ca="1" si="31"/>
        <v>762870571.72375393</v>
      </c>
      <c r="P100" s="648">
        <f ca="1">'S&amp;U'!R31</f>
        <v>297663456.66999996</v>
      </c>
      <c r="Q100" s="649">
        <f t="shared" ca="1" si="28"/>
        <v>0.74482024298123695</v>
      </c>
      <c r="R100" s="648">
        <f ca="1">'S&amp;U'!S31</f>
        <v>174155529.98339999</v>
      </c>
      <c r="S100" s="649">
        <f t="shared" ca="1" si="29"/>
        <v>0.78539248587643351</v>
      </c>
      <c r="T100" s="648">
        <f ca="1">'S&amp;U'!T31</f>
        <v>291051583.54014122</v>
      </c>
      <c r="U100" s="676">
        <f t="shared" ca="1" si="30"/>
        <v>0.73955913957048414</v>
      </c>
    </row>
    <row r="101" spans="2:21" ht="19" customHeight="1" x14ac:dyDescent="0.25">
      <c r="B101" s="663" t="s">
        <v>481</v>
      </c>
      <c r="C101" s="701"/>
      <c r="D101" s="704"/>
      <c r="E101" s="705" t="s">
        <v>740</v>
      </c>
      <c r="F101" s="747">
        <f>Assumptions!F151</f>
        <v>10</v>
      </c>
      <c r="G101" s="706">
        <f>Assumptions!$M$68/Assumptions!$M$69</f>
        <v>0.01</v>
      </c>
      <c r="H101" s="707">
        <f>Assumptions!$M$57</f>
        <v>0.05</v>
      </c>
      <c r="L101" s="608" t="s">
        <v>58</v>
      </c>
      <c r="M101" s="581"/>
      <c r="N101" s="581"/>
      <c r="O101" s="648">
        <f t="shared" ca="1" si="31"/>
        <v>61041787.965107337</v>
      </c>
      <c r="P101" s="648">
        <f ca="1">'S&amp;U'!R32</f>
        <v>23359191.388517704</v>
      </c>
      <c r="Q101" s="649">
        <f t="shared" ca="1" si="28"/>
        <v>5.8449897748548432E-2</v>
      </c>
      <c r="R101" s="648">
        <f ca="1">'S&amp;U'!S32</f>
        <v>13372221.469901217</v>
      </c>
      <c r="S101" s="649">
        <f t="shared" ca="1" si="29"/>
        <v>6.0304959956982103E-2</v>
      </c>
      <c r="T101" s="648">
        <f ca="1">'S&amp;U'!T32</f>
        <v>24310374.98793355</v>
      </c>
      <c r="U101" s="676">
        <f t="shared" ca="1" si="30"/>
        <v>6.1772417761926844E-2</v>
      </c>
    </row>
    <row r="102" spans="2:21" ht="19" customHeight="1" x14ac:dyDescent="0.25">
      <c r="B102" s="631" t="s">
        <v>618</v>
      </c>
      <c r="C102" s="632"/>
      <c r="D102" s="632"/>
      <c r="E102" s="633"/>
      <c r="F102" s="748">
        <f>Assumptions!F155</f>
        <v>2.4170616113744074</v>
      </c>
      <c r="G102" s="708">
        <f>Assumptions!$M$68/Assumptions!$M$69</f>
        <v>0.01</v>
      </c>
      <c r="H102" s="709">
        <f>Assumptions!$M$57</f>
        <v>0.05</v>
      </c>
      <c r="L102" s="608" t="s">
        <v>80</v>
      </c>
      <c r="M102" s="581"/>
      <c r="N102" s="581"/>
      <c r="O102" s="648">
        <f t="shared" ca="1" si="31"/>
        <v>71801801.934825689</v>
      </c>
      <c r="P102" s="648">
        <f ca="1">'S&amp;U'!R33</f>
        <v>28164860.643364143</v>
      </c>
      <c r="Q102" s="649">
        <f t="shared" ca="1" si="28"/>
        <v>7.047475220036778E-2</v>
      </c>
      <c r="R102" s="648">
        <f ca="1">'S&amp;U'!S33</f>
        <v>16056189.021147538</v>
      </c>
      <c r="S102" s="649">
        <f t="shared" ca="1" si="29"/>
        <v>7.2408899161703066E-2</v>
      </c>
      <c r="T102" s="648">
        <f ca="1">'S&amp;U'!T33</f>
        <v>27580752.127430357</v>
      </c>
      <c r="U102" s="676">
        <f t="shared" ca="1" si="30"/>
        <v>7.0082413103435326E-2</v>
      </c>
    </row>
    <row r="103" spans="2:21" ht="19" customHeight="1" x14ac:dyDescent="0.25">
      <c r="B103" s="700" t="s">
        <v>717</v>
      </c>
      <c r="C103" s="701"/>
      <c r="D103" s="701"/>
      <c r="E103" s="702"/>
      <c r="F103" s="749"/>
      <c r="G103" s="701"/>
      <c r="H103" s="703"/>
      <c r="L103" s="608" t="s">
        <v>83</v>
      </c>
      <c r="M103" s="581"/>
      <c r="N103" s="581"/>
      <c r="O103" s="648">
        <f t="shared" ca="1" si="31"/>
        <v>2000000.0039175621</v>
      </c>
      <c r="P103" s="648">
        <f ca="1">'S&amp;U'!R34</f>
        <v>764323.10105370777</v>
      </c>
      <c r="Q103" s="649">
        <f t="shared" ca="1" si="28"/>
        <v>1.9125065744100471E-3</v>
      </c>
      <c r="R103" s="648">
        <f ca="1">'S&amp;U'!S34</f>
        <v>444607.63224393112</v>
      </c>
      <c r="S103" s="649">
        <f t="shared" ca="1" si="29"/>
        <v>2.0050554441824507E-3</v>
      </c>
      <c r="T103" s="648">
        <f ca="1">'S&amp;U'!T34</f>
        <v>791069.26670236117</v>
      </c>
      <c r="U103" s="676">
        <f t="shared" ca="1" si="30"/>
        <v>2.010099031611571E-3</v>
      </c>
    </row>
    <row r="104" spans="2:21" ht="19" customHeight="1" x14ac:dyDescent="0.25">
      <c r="B104" s="663" t="s">
        <v>213</v>
      </c>
      <c r="C104" s="701"/>
      <c r="D104" s="704"/>
      <c r="E104" s="702"/>
      <c r="F104" s="747">
        <f>Assumptions!F181</f>
        <v>135</v>
      </c>
      <c r="G104" s="706">
        <f>Assumptions!$M$74</f>
        <v>0.02</v>
      </c>
      <c r="H104" s="707">
        <f>Assumptions!$M$60</f>
        <v>0.1</v>
      </c>
      <c r="L104" s="608" t="s">
        <v>60</v>
      </c>
      <c r="M104" s="581"/>
      <c r="N104" s="581"/>
      <c r="O104" s="648">
        <f t="shared" ca="1" si="31"/>
        <v>29070719.507983051</v>
      </c>
      <c r="P104" s="648">
        <f ca="1">'S&amp;U'!R35</f>
        <v>11439161.391024234</v>
      </c>
      <c r="Q104" s="649">
        <f t="shared" ca="1" si="28"/>
        <v>2.8623328715187076E-2</v>
      </c>
      <c r="R104" s="648">
        <f ca="1">'S&amp;U'!S35</f>
        <v>6434689.4432007801</v>
      </c>
      <c r="S104" s="649">
        <f t="shared" ca="1" si="29"/>
        <v>2.9018640626111696E-2</v>
      </c>
      <c r="T104" s="648">
        <f ca="1">'S&amp;U'!T35</f>
        <v>11196868.616116071</v>
      </c>
      <c r="U104" s="676">
        <f t="shared" ca="1" si="30"/>
        <v>2.8451130273532754E-2</v>
      </c>
    </row>
    <row r="105" spans="2:21" ht="19" customHeight="1" x14ac:dyDescent="0.25">
      <c r="B105" s="663" t="s">
        <v>28</v>
      </c>
      <c r="C105" s="701"/>
      <c r="D105" s="704"/>
      <c r="E105" s="702"/>
      <c r="F105" s="747">
        <f>Assumptions!F194</f>
        <v>135</v>
      </c>
      <c r="G105" s="706">
        <f>Assumptions!$M$74</f>
        <v>0.02</v>
      </c>
      <c r="H105" s="707">
        <f>Assumptions!$M$60</f>
        <v>0.1</v>
      </c>
      <c r="L105" s="739" t="s">
        <v>97</v>
      </c>
      <c r="M105" s="740"/>
      <c r="N105" s="740"/>
      <c r="O105" s="741">
        <f t="shared" ca="1" si="31"/>
        <v>1014935412.2355201</v>
      </c>
      <c r="P105" s="741">
        <f ca="1">'S&amp;U'!R36</f>
        <v>399644692.09183204</v>
      </c>
      <c r="Q105" s="742"/>
      <c r="R105" s="741">
        <f ca="1">'S&amp;U'!S36</f>
        <v>221743310.6570363</v>
      </c>
      <c r="S105" s="742"/>
      <c r="T105" s="741">
        <f ca="1">'S&amp;U'!T36</f>
        <v>393547409.48665184</v>
      </c>
      <c r="U105" s="743"/>
    </row>
    <row r="106" spans="2:21" ht="19" customHeight="1" x14ac:dyDescent="0.25">
      <c r="B106" s="631" t="s">
        <v>618</v>
      </c>
      <c r="C106" s="632"/>
      <c r="D106" s="632"/>
      <c r="E106" s="633"/>
      <c r="F106" s="748">
        <f>+F105</f>
        <v>135</v>
      </c>
      <c r="G106" s="708">
        <f>+G105</f>
        <v>0.02</v>
      </c>
      <c r="H106" s="709">
        <f>+H105</f>
        <v>0.1</v>
      </c>
    </row>
    <row r="107" spans="2:21" ht="19" customHeight="1" x14ac:dyDescent="0.25"/>
    <row r="108" spans="2:21" ht="19" customHeight="1" x14ac:dyDescent="0.25"/>
    <row r="109" spans="2:21" ht="19" customHeight="1" x14ac:dyDescent="0.25"/>
    <row r="110" spans="2:21" ht="19" customHeight="1" x14ac:dyDescent="0.25"/>
    <row r="111" spans="2:21" ht="19" customHeight="1" x14ac:dyDescent="0.25"/>
    <row r="112" spans="2:21" ht="19" customHeight="1" x14ac:dyDescent="0.25"/>
    <row r="113" ht="19" customHeight="1" x14ac:dyDescent="0.25"/>
    <row r="114" ht="19" customHeight="1" x14ac:dyDescent="0.25"/>
    <row r="115" ht="19" customHeight="1" x14ac:dyDescent="0.25"/>
    <row r="116" ht="19" customHeight="1" x14ac:dyDescent="0.25"/>
    <row r="117" ht="19" customHeight="1" x14ac:dyDescent="0.25"/>
    <row r="118" ht="19" customHeight="1" x14ac:dyDescent="0.25"/>
    <row r="119" ht="19" customHeight="1" x14ac:dyDescent="0.25"/>
    <row r="120" ht="19" customHeight="1" x14ac:dyDescent="0.25"/>
    <row r="121" ht="19" customHeight="1" x14ac:dyDescent="0.25"/>
    <row r="122" ht="19" customHeight="1" x14ac:dyDescent="0.25"/>
    <row r="123" ht="19" customHeight="1" x14ac:dyDescent="0.25"/>
    <row r="124" ht="19" customHeight="1" x14ac:dyDescent="0.25"/>
    <row r="125" ht="19" customHeight="1" x14ac:dyDescent="0.25"/>
    <row r="126" ht="19" customHeight="1" x14ac:dyDescent="0.25"/>
    <row r="127" ht="19" customHeight="1" x14ac:dyDescent="0.25"/>
    <row r="128" ht="19" customHeight="1" x14ac:dyDescent="0.25"/>
    <row r="129" ht="19" customHeight="1" x14ac:dyDescent="0.25"/>
    <row r="130" ht="19" customHeight="1" x14ac:dyDescent="0.25"/>
    <row r="131" ht="19" customHeight="1" x14ac:dyDescent="0.25"/>
    <row r="132" ht="19" customHeight="1" x14ac:dyDescent="0.25"/>
    <row r="133" ht="19" customHeight="1" x14ac:dyDescent="0.25"/>
  </sheetData>
  <mergeCells count="11">
    <mergeCell ref="F29:H29"/>
    <mergeCell ref="F4:H4"/>
    <mergeCell ref="P4:T4"/>
    <mergeCell ref="D12:D13"/>
    <mergeCell ref="F12:H12"/>
    <mergeCell ref="P17:T17"/>
    <mergeCell ref="D42:D43"/>
    <mergeCell ref="F42:H42"/>
    <mergeCell ref="P50:T50"/>
    <mergeCell ref="E59:F59"/>
    <mergeCell ref="F89:H89"/>
  </mergeCells>
  <phoneticPr fontId="62" type="noConversion"/>
  <pageMargins left="0.7" right="0.7" top="0.75" bottom="0.75" header="0.3" footer="0.3"/>
  <pageSetup paperSize="3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U219"/>
  <sheetViews>
    <sheetView showGridLines="0" zoomScale="55" zoomScaleNormal="55" workbookViewId="0">
      <selection activeCell="B17" sqref="B17"/>
    </sheetView>
  </sheetViews>
  <sheetFormatPr defaultColWidth="12.453125" defaultRowHeight="16" customHeight="1" outlineLevelRow="1" x14ac:dyDescent="0.25"/>
  <cols>
    <col min="1" max="1" width="8.453125" style="52" customWidth="1"/>
    <col min="2" max="2" width="36.453125" style="52" customWidth="1"/>
    <col min="3" max="3" width="18.1796875" style="52" customWidth="1"/>
    <col min="4" max="4" width="1.453125" style="53" customWidth="1"/>
    <col min="5" max="5" width="15.453125" style="53" bestFit="1" customWidth="1"/>
    <col min="6" max="7" width="14.81640625" style="52" bestFit="1" customWidth="1"/>
    <col min="8" max="8" width="16.453125" style="52" customWidth="1"/>
    <col min="9" max="9" width="1.453125" style="52" customWidth="1"/>
    <col min="10" max="10" width="36.453125" style="52" customWidth="1"/>
    <col min="11" max="11" width="16" style="52" customWidth="1"/>
    <col min="12" max="12" width="1.453125" style="52" customWidth="1"/>
    <col min="13" max="13" width="15.453125" style="52" customWidth="1"/>
    <col min="14" max="14" width="17.453125" style="52" bestFit="1" customWidth="1"/>
    <col min="15" max="16" width="14.453125" style="52" bestFit="1" customWidth="1"/>
    <col min="17" max="17" width="3.453125" style="52" customWidth="1"/>
    <col min="18" max="18" width="36.453125" style="52" customWidth="1"/>
    <col min="19" max="19" width="16.453125" style="52" customWidth="1"/>
    <col min="20" max="20" width="1.453125" style="52" customWidth="1"/>
    <col min="21" max="21" width="16.453125" style="52" customWidth="1"/>
    <col min="22" max="16384" width="12.453125" style="52"/>
  </cols>
  <sheetData>
    <row r="1" spans="1:21" ht="18" customHeight="1" x14ac:dyDescent="0.25">
      <c r="A1" s="51"/>
    </row>
    <row r="2" spans="1:21" ht="16" customHeight="1" x14ac:dyDescent="0.25">
      <c r="A2" s="51"/>
      <c r="B2" s="51" t="s">
        <v>654</v>
      </c>
      <c r="J2" s="51" t="s">
        <v>655</v>
      </c>
      <c r="L2" s="53"/>
      <c r="M2" s="53"/>
    </row>
    <row r="3" spans="1:21" ht="16" customHeight="1" x14ac:dyDescent="0.25">
      <c r="A3" s="51"/>
      <c r="B3" s="173" t="s">
        <v>361</v>
      </c>
      <c r="C3" s="178"/>
      <c r="D3" s="52"/>
      <c r="E3" s="178">
        <f ca="1">+'Cash Flow Roll-up'!$D$8</f>
        <v>0.22324328826435935</v>
      </c>
      <c r="J3" s="173" t="s">
        <v>361</v>
      </c>
      <c r="K3" s="178"/>
      <c r="M3" s="178">
        <f ca="1">+'Cash Flow Roll-up'!D36</f>
        <v>0.30439856080056821</v>
      </c>
    </row>
    <row r="4" spans="1:21" ht="16" customHeight="1" x14ac:dyDescent="0.25">
      <c r="A4" s="51"/>
      <c r="B4" s="177" t="s">
        <v>399</v>
      </c>
      <c r="C4" s="179"/>
      <c r="D4" s="52"/>
      <c r="E4" s="179">
        <f ca="1">+'Cash Flow Roll-up'!$D$17</f>
        <v>0.13026177012390683</v>
      </c>
      <c r="J4" s="177" t="s">
        <v>399</v>
      </c>
      <c r="K4" s="179"/>
      <c r="M4" s="179">
        <f ca="1">+'Cash Flow Roll-up'!D27</f>
        <v>0.16485008460905232</v>
      </c>
    </row>
    <row r="5" spans="1:21" ht="4" customHeight="1" x14ac:dyDescent="0.25">
      <c r="A5" s="51"/>
    </row>
    <row r="6" spans="1:21" ht="16" customHeight="1" x14ac:dyDescent="0.25">
      <c r="A6" s="51"/>
      <c r="B6" s="51" t="s">
        <v>21</v>
      </c>
      <c r="J6" s="51" t="s">
        <v>381</v>
      </c>
      <c r="L6" s="53"/>
      <c r="M6" s="53"/>
      <c r="R6" s="51" t="s">
        <v>384</v>
      </c>
      <c r="T6" s="53"/>
      <c r="U6" s="53"/>
    </row>
    <row r="7" spans="1:21" ht="16" customHeight="1" x14ac:dyDescent="0.25">
      <c r="A7" s="51"/>
      <c r="B7" s="51" t="s">
        <v>374</v>
      </c>
      <c r="J7" s="51" t="s">
        <v>374</v>
      </c>
      <c r="L7" s="53"/>
      <c r="M7" s="53"/>
      <c r="R7" s="51" t="s">
        <v>374</v>
      </c>
      <c r="T7" s="53"/>
      <c r="U7" s="53"/>
    </row>
    <row r="8" spans="1:21" ht="16" customHeight="1" outlineLevel="1" x14ac:dyDescent="0.25">
      <c r="A8" s="51"/>
      <c r="B8" s="173" t="s">
        <v>376</v>
      </c>
      <c r="C8" s="174"/>
      <c r="D8" s="54"/>
      <c r="E8" s="174">
        <f ca="1">+Budget!$H$82-SUM('S&amp;U'!$H$18:$H$22)</f>
        <v>303945827.1925959</v>
      </c>
      <c r="J8" s="173" t="s">
        <v>376</v>
      </c>
      <c r="K8" s="174"/>
      <c r="L8" s="54"/>
      <c r="M8" s="174">
        <f ca="1">+Budget!$I$82-SUM('S&amp;U'!$I$18:$I$22)</f>
        <v>169326058.76777136</v>
      </c>
      <c r="R8" s="173" t="s">
        <v>376</v>
      </c>
      <c r="S8" s="174"/>
      <c r="T8" s="54"/>
      <c r="U8" s="174">
        <f ca="1">+Budget!$J$82-SUM('S&amp;U'!$J$18:$J$22)</f>
        <v>313110146.09654963</v>
      </c>
    </row>
    <row r="9" spans="1:21" ht="16" customHeight="1" outlineLevel="1" x14ac:dyDescent="0.25">
      <c r="A9" s="51"/>
      <c r="B9" s="175" t="s">
        <v>333</v>
      </c>
      <c r="C9" s="176"/>
      <c r="D9" s="54"/>
      <c r="E9" s="176">
        <f ca="1">+'Loan Sizing'!$F$47+'Loan Sizing'!$F$31+SUM('Loan Sizing'!$F$5:$F$10)</f>
        <v>412428286.77958107</v>
      </c>
      <c r="J9" s="175" t="s">
        <v>333</v>
      </c>
      <c r="K9" s="176"/>
      <c r="L9" s="54"/>
      <c r="M9" s="176">
        <f ca="1">+'Loan Sizing'!$G$47+'Loan Sizing'!$G$31+SUM('Loan Sizing'!$G$5:$G$10)</f>
        <v>239095231.09056804</v>
      </c>
      <c r="R9" s="175" t="s">
        <v>333</v>
      </c>
      <c r="S9" s="176"/>
      <c r="T9" s="54"/>
      <c r="U9" s="176">
        <f ca="1">+'Loan Sizing'!$H$47+'Loan Sizing'!$H$31+SUM('Loan Sizing'!$H$5:$H$10)</f>
        <v>429257370.17257202</v>
      </c>
    </row>
    <row r="10" spans="1:21" ht="16" customHeight="1" x14ac:dyDescent="0.25">
      <c r="A10" s="51"/>
      <c r="B10" s="173" t="s">
        <v>258</v>
      </c>
      <c r="C10" s="178"/>
      <c r="D10" s="52"/>
      <c r="E10" s="178">
        <f ca="1">+'Loan Sizing'!$F$62/E8</f>
        <v>8.5272509059083831E-2</v>
      </c>
      <c r="J10" s="173" t="s">
        <v>258</v>
      </c>
      <c r="K10" s="178"/>
      <c r="M10" s="178">
        <f ca="1">+'Loan Sizing'!$G$62/M8</f>
        <v>8.8108748780657956E-2</v>
      </c>
      <c r="R10" s="173" t="s">
        <v>258</v>
      </c>
      <c r="S10" s="178"/>
      <c r="U10" s="178">
        <f ca="1">+'Loan Sizing'!$H$62/U8</f>
        <v>8.3554117633941508E-2</v>
      </c>
    </row>
    <row r="11" spans="1:21" ht="16" customHeight="1" x14ac:dyDescent="0.25">
      <c r="A11" s="51"/>
      <c r="B11" s="177" t="s">
        <v>335</v>
      </c>
      <c r="C11" s="179"/>
      <c r="D11" s="52"/>
      <c r="E11" s="179">
        <f ca="1">+'Loan Sizing'!$F$62/E9</f>
        <v>6.2842981758433905E-2</v>
      </c>
      <c r="J11" s="177" t="s">
        <v>335</v>
      </c>
      <c r="K11" s="179"/>
      <c r="M11" s="179">
        <f ca="1">+'Loan Sizing'!$G$62/M9</f>
        <v>6.2398179612111179E-2</v>
      </c>
      <c r="R11" s="177" t="s">
        <v>335</v>
      </c>
      <c r="S11" s="179"/>
      <c r="U11" s="179">
        <f ca="1">+'Loan Sizing'!$H$62/U9</f>
        <v>6.0946284903190123E-2</v>
      </c>
    </row>
    <row r="12" spans="1:21" ht="4" customHeight="1" x14ac:dyDescent="0.25">
      <c r="A12" s="51"/>
      <c r="L12" s="53"/>
      <c r="M12" s="53"/>
      <c r="T12" s="53"/>
      <c r="U12" s="53"/>
    </row>
    <row r="13" spans="1:21" ht="16" customHeight="1" x14ac:dyDescent="0.25">
      <c r="A13" s="51"/>
      <c r="B13" s="51" t="s">
        <v>373</v>
      </c>
      <c r="D13" s="52"/>
      <c r="E13" s="52"/>
      <c r="J13" s="51" t="s">
        <v>373</v>
      </c>
      <c r="R13" s="51" t="s">
        <v>373</v>
      </c>
    </row>
    <row r="14" spans="1:21" ht="16" customHeight="1" x14ac:dyDescent="0.25">
      <c r="A14" s="51"/>
      <c r="B14" s="173" t="s">
        <v>361</v>
      </c>
      <c r="C14" s="178"/>
      <c r="D14" s="52"/>
      <c r="E14" s="178">
        <f ca="1">+'Phase I Pro Forma'!$D$311</f>
        <v>0.20216207550226173</v>
      </c>
      <c r="J14" s="173" t="s">
        <v>361</v>
      </c>
      <c r="K14" s="178"/>
      <c r="M14" s="178">
        <f ca="1">+'Phase II Pro Forma'!$D$311</f>
        <v>0.25394836654862751</v>
      </c>
      <c r="R14" s="173" t="s">
        <v>361</v>
      </c>
      <c r="S14" s="178"/>
      <c r="U14" s="178">
        <f ca="1">+'Phase III Pro Forma'!$D$311</f>
        <v>0.25261779574553245</v>
      </c>
    </row>
    <row r="15" spans="1:21" ht="16" customHeight="1" x14ac:dyDescent="0.25">
      <c r="A15" s="51"/>
      <c r="B15" s="175" t="s">
        <v>399</v>
      </c>
      <c r="C15" s="222"/>
      <c r="D15" s="52"/>
      <c r="E15" s="222">
        <f ca="1">+'Phase I Pro Forma'!$D$353</f>
        <v>0.11972944419183973</v>
      </c>
      <c r="J15" s="175" t="s">
        <v>399</v>
      </c>
      <c r="K15" s="222"/>
      <c r="M15" s="222">
        <f ca="1">+'Phase II Pro Forma'!$D$353</f>
        <v>0.13786783674743441</v>
      </c>
      <c r="R15" s="175" t="s">
        <v>399</v>
      </c>
      <c r="S15" s="222"/>
      <c r="U15" s="222">
        <f ca="1">+'Phase III Pro Forma'!$D$353</f>
        <v>0.14871588484395204</v>
      </c>
    </row>
    <row r="16" spans="1:21" ht="16" customHeight="1" x14ac:dyDescent="0.25">
      <c r="A16" s="51"/>
      <c r="B16" s="175" t="s">
        <v>756</v>
      </c>
      <c r="C16" s="222"/>
      <c r="D16" s="52"/>
      <c r="E16" s="222">
        <f ca="1">+'Cash Flow Roll-up'!$E$55</f>
        <v>0.29690186695228693</v>
      </c>
      <c r="J16" s="175" t="s">
        <v>756</v>
      </c>
      <c r="K16" s="222"/>
      <c r="M16" s="222">
        <f ca="1">+'Cash Flow Roll-up'!$E$56</f>
        <v>0.32970544661755091</v>
      </c>
      <c r="R16" s="175" t="s">
        <v>756</v>
      </c>
      <c r="S16" s="222"/>
      <c r="U16" s="222">
        <f ca="1">+'Cash Flow Roll-up'!$E$57</f>
        <v>0.30491617202346166</v>
      </c>
    </row>
    <row r="17" spans="1:21" ht="16" customHeight="1" x14ac:dyDescent="0.25">
      <c r="A17" s="51"/>
      <c r="B17" s="175" t="s">
        <v>631</v>
      </c>
      <c r="C17" s="222"/>
      <c r="D17" s="52"/>
      <c r="E17" s="222">
        <f ca="1">+'Phase I Pro Forma'!$D$383</f>
        <v>0.16401879700859676</v>
      </c>
      <c r="J17" s="175" t="s">
        <v>631</v>
      </c>
      <c r="K17" s="222"/>
      <c r="M17" s="222">
        <f ca="1">+'Phase II Pro Forma'!$D$383</f>
        <v>0.16533863823710435</v>
      </c>
      <c r="R17" s="175" t="s">
        <v>631</v>
      </c>
      <c r="S17" s="222"/>
      <c r="U17" s="222">
        <f ca="1">+'Phase III Pro Forma'!$D$383</f>
        <v>0.16632903685299807</v>
      </c>
    </row>
    <row r="18" spans="1:21" ht="16" customHeight="1" x14ac:dyDescent="0.25">
      <c r="A18" s="51"/>
      <c r="B18" s="177" t="s">
        <v>360</v>
      </c>
      <c r="C18" s="179"/>
      <c r="D18" s="52"/>
      <c r="E18" s="206">
        <f ca="1">+'Phase I Pro Forma'!$D$313</f>
        <v>4.4608843538515446</v>
      </c>
      <c r="J18" s="177" t="s">
        <v>360</v>
      </c>
      <c r="K18" s="179"/>
      <c r="M18" s="206">
        <f ca="1">+'Phase II Pro Forma'!$D$313</f>
        <v>4.1056338439956797</v>
      </c>
      <c r="R18" s="177" t="s">
        <v>360</v>
      </c>
      <c r="S18" s="179"/>
      <c r="U18" s="206">
        <f ca="1">+'Phase III Pro Forma'!$D$313</f>
        <v>3.095962937355611</v>
      </c>
    </row>
    <row r="19" spans="1:21" ht="16" customHeight="1" x14ac:dyDescent="0.25">
      <c r="A19" s="51"/>
      <c r="D19" s="54"/>
    </row>
    <row r="20" spans="1:21" ht="16" customHeight="1" thickBot="1" x14ac:dyDescent="0.3">
      <c r="A20" s="51"/>
      <c r="D20" s="54"/>
      <c r="F20" s="801" t="s">
        <v>245</v>
      </c>
      <c r="G20" s="801"/>
      <c r="H20" s="801"/>
      <c r="J20" s="802" t="s">
        <v>225</v>
      </c>
      <c r="K20" s="802"/>
      <c r="L20" s="54"/>
      <c r="M20" s="50" t="s">
        <v>63</v>
      </c>
      <c r="N20" s="50" t="str">
        <f>+F$21</f>
        <v>I</v>
      </c>
      <c r="O20" s="50" t="str">
        <f>+G$21</f>
        <v>II</v>
      </c>
      <c r="P20" s="50" t="str">
        <f>+H$21</f>
        <v>III</v>
      </c>
    </row>
    <row r="21" spans="1:21" ht="16" customHeight="1" thickBot="1" x14ac:dyDescent="0.3">
      <c r="B21" s="802" t="s">
        <v>104</v>
      </c>
      <c r="C21" s="802"/>
      <c r="D21" s="54"/>
      <c r="E21" s="50" t="s">
        <v>63</v>
      </c>
      <c r="F21" s="126" t="s">
        <v>205</v>
      </c>
      <c r="G21" s="126" t="s">
        <v>243</v>
      </c>
      <c r="H21" s="126" t="s">
        <v>244</v>
      </c>
      <c r="J21" s="97" t="s">
        <v>228</v>
      </c>
      <c r="R21" s="800" t="s">
        <v>478</v>
      </c>
      <c r="S21" s="800"/>
    </row>
    <row r="22" spans="1:21" ht="16" customHeight="1" x14ac:dyDescent="0.25">
      <c r="B22" s="55" t="s">
        <v>105</v>
      </c>
      <c r="C22" s="54"/>
      <c r="D22" s="54"/>
      <c r="E22" s="56">
        <f>+MIN(F22:H22)</f>
        <v>44196</v>
      </c>
      <c r="F22" s="57">
        <v>44196</v>
      </c>
      <c r="G22" s="57">
        <v>44926</v>
      </c>
      <c r="H22" s="57">
        <v>45657</v>
      </c>
      <c r="J22" s="64" t="s">
        <v>143</v>
      </c>
      <c r="K22" s="54"/>
      <c r="L22" s="54"/>
      <c r="M22" s="61">
        <f t="shared" ref="M22:M31" si="0">+SUM(N22:P22)</f>
        <v>276641.36186583154</v>
      </c>
      <c r="N22" s="66">
        <f>+F55</f>
        <v>109331.58513942146</v>
      </c>
      <c r="O22" s="66">
        <f>+G55</f>
        <v>75947.420000000013</v>
      </c>
      <c r="P22" s="66">
        <f>+H55</f>
        <v>91362.356726410042</v>
      </c>
      <c r="R22" s="373">
        <f ca="1">+OFFSET('Parcel Breakdown'!$AP$23,0,Assumptions!Q34)</f>
        <v>276641.36186583148</v>
      </c>
      <c r="S22" s="374">
        <f ca="1">+R22-M22</f>
        <v>0</v>
      </c>
    </row>
    <row r="23" spans="1:21" ht="16" customHeight="1" x14ac:dyDescent="0.25">
      <c r="B23" s="55" t="s">
        <v>106</v>
      </c>
      <c r="C23" s="54"/>
      <c r="E23" s="54"/>
      <c r="F23" s="58">
        <v>12</v>
      </c>
      <c r="G23" s="58">
        <v>12</v>
      </c>
      <c r="H23" s="58">
        <v>12</v>
      </c>
      <c r="J23" s="64" t="s">
        <v>144</v>
      </c>
      <c r="K23" s="54"/>
      <c r="L23" s="54"/>
      <c r="M23" s="61">
        <f t="shared" si="0"/>
        <v>1106565.4474633262</v>
      </c>
      <c r="N23" s="66">
        <f>+F83</f>
        <v>437326.34055768582</v>
      </c>
      <c r="O23" s="66">
        <f>+G83</f>
        <v>303789.68000000005</v>
      </c>
      <c r="P23" s="66">
        <f>+H83</f>
        <v>365449.42690564017</v>
      </c>
      <c r="R23" s="373">
        <f ca="1">+OFFSET('Parcel Breakdown'!$AP$23,0,Assumptions!Q35)</f>
        <v>1106565.4474633259</v>
      </c>
      <c r="S23" s="374">
        <f t="shared" ref="S23:S30" ca="1" si="1">+R23-M23</f>
        <v>0</v>
      </c>
    </row>
    <row r="24" spans="1:21" ht="16" customHeight="1" x14ac:dyDescent="0.25">
      <c r="B24" s="55" t="s">
        <v>107</v>
      </c>
      <c r="C24" s="54"/>
      <c r="E24" s="54"/>
      <c r="F24" s="56">
        <f>+EOMONTH(F22,F23)</f>
        <v>44561</v>
      </c>
      <c r="G24" s="56">
        <f t="shared" ref="G24:H24" si="2">+EOMONTH(G22,G23)</f>
        <v>45291</v>
      </c>
      <c r="H24" s="56">
        <f t="shared" si="2"/>
        <v>46022</v>
      </c>
      <c r="J24" s="64" t="s">
        <v>25</v>
      </c>
      <c r="K24" s="54"/>
      <c r="L24" s="54"/>
      <c r="M24" s="61">
        <f t="shared" si="0"/>
        <v>423297</v>
      </c>
      <c r="N24" s="66">
        <f>+F137</f>
        <v>214200</v>
      </c>
      <c r="O24" s="66">
        <f>+G137</f>
        <v>138600</v>
      </c>
      <c r="P24" s="66">
        <f>+H137</f>
        <v>70497</v>
      </c>
      <c r="R24" s="373">
        <f ca="1">+OFFSET('Parcel Breakdown'!$AP$23,0,Assumptions!Q36)</f>
        <v>423297</v>
      </c>
      <c r="S24" s="374">
        <f t="shared" ca="1" si="1"/>
        <v>0</v>
      </c>
    </row>
    <row r="25" spans="1:21" ht="16" customHeight="1" x14ac:dyDescent="0.25">
      <c r="B25" s="55" t="s">
        <v>108</v>
      </c>
      <c r="C25" s="54"/>
      <c r="D25" s="54"/>
      <c r="E25" s="54"/>
      <c r="F25" s="58">
        <v>24</v>
      </c>
      <c r="G25" s="58">
        <v>24</v>
      </c>
      <c r="H25" s="58">
        <v>24</v>
      </c>
      <c r="J25" s="64" t="s">
        <v>26</v>
      </c>
      <c r="K25" s="54"/>
      <c r="L25" s="54"/>
      <c r="M25" s="61">
        <f t="shared" si="0"/>
        <v>277185.31000000006</v>
      </c>
      <c r="N25" s="66">
        <f>+F99</f>
        <v>156063.15000000002</v>
      </c>
      <c r="O25" s="66">
        <f>+G99</f>
        <v>104347.20000000001</v>
      </c>
      <c r="P25" s="66">
        <f>+H99</f>
        <v>16774.96</v>
      </c>
      <c r="R25" s="373">
        <f ca="1">+OFFSET('Parcel Breakdown'!$AP$23,0,Assumptions!Q37)</f>
        <v>277185.31000000006</v>
      </c>
      <c r="S25" s="374">
        <f t="shared" ca="1" si="1"/>
        <v>0</v>
      </c>
    </row>
    <row r="26" spans="1:21" ht="16" customHeight="1" x14ac:dyDescent="0.25">
      <c r="B26" s="55" t="s">
        <v>109</v>
      </c>
      <c r="C26" s="54"/>
      <c r="D26" s="54"/>
      <c r="E26" s="54"/>
      <c r="F26" s="56">
        <f>+EOMONTH(F24,F25)</f>
        <v>45291</v>
      </c>
      <c r="G26" s="56">
        <f t="shared" ref="G26:H26" si="3">+EOMONTH(G24,G25)</f>
        <v>46022</v>
      </c>
      <c r="H26" s="56">
        <f t="shared" si="3"/>
        <v>46752</v>
      </c>
      <c r="J26" s="64" t="s">
        <v>147</v>
      </c>
      <c r="K26" s="54"/>
      <c r="L26" s="54"/>
      <c r="M26" s="61">
        <f t="shared" si="0"/>
        <v>157335.0001</v>
      </c>
      <c r="N26" s="66">
        <f>+F154</f>
        <v>79125</v>
      </c>
      <c r="O26" s="66">
        <f>+G154</f>
        <v>1E-4</v>
      </c>
      <c r="P26" s="66">
        <f>+H154</f>
        <v>78210</v>
      </c>
      <c r="R26" s="373">
        <f ca="1">+OFFSET('Parcel Breakdown'!$AP$23,0,Assumptions!Q38)</f>
        <v>157335</v>
      </c>
      <c r="S26" s="374">
        <f t="shared" ca="1" si="1"/>
        <v>-1.0000000474974513E-4</v>
      </c>
    </row>
    <row r="27" spans="1:21" ht="16" customHeight="1" x14ac:dyDescent="0.25">
      <c r="B27" s="55" t="s">
        <v>110</v>
      </c>
      <c r="C27" s="54"/>
      <c r="D27" s="54"/>
      <c r="E27" s="54"/>
      <c r="F27" s="58">
        <v>24</v>
      </c>
      <c r="G27" s="58">
        <v>24</v>
      </c>
      <c r="H27" s="58">
        <v>24</v>
      </c>
      <c r="J27" s="64" t="s">
        <v>148</v>
      </c>
      <c r="K27" s="54"/>
      <c r="L27" s="54"/>
      <c r="M27" s="61">
        <f t="shared" si="0"/>
        <v>1133974.8999999999</v>
      </c>
      <c r="N27" s="66">
        <f>+F172</f>
        <v>410068.80000000005</v>
      </c>
      <c r="O27" s="66">
        <f>+G172</f>
        <v>134937</v>
      </c>
      <c r="P27" s="66">
        <f>+H172</f>
        <v>588969.09999999986</v>
      </c>
      <c r="R27" s="373">
        <f ca="1">+OFFSET('Parcel Breakdown'!$AP$23,0,Assumptions!Q39)</f>
        <v>1133974.8999999999</v>
      </c>
      <c r="S27" s="374">
        <f t="shared" ca="1" si="1"/>
        <v>0</v>
      </c>
    </row>
    <row r="28" spans="1:21" ht="16" customHeight="1" x14ac:dyDescent="0.25">
      <c r="B28" s="55" t="s">
        <v>111</v>
      </c>
      <c r="C28" s="54"/>
      <c r="D28" s="54"/>
      <c r="E28" s="54"/>
      <c r="F28" s="56">
        <f>+EOMONTH(F26,F27)</f>
        <v>46022</v>
      </c>
      <c r="G28" s="56">
        <f t="shared" ref="G28:H28" si="4">+EOMONTH(G26,G27)</f>
        <v>46752</v>
      </c>
      <c r="H28" s="56">
        <f t="shared" si="4"/>
        <v>47483</v>
      </c>
      <c r="J28" s="64" t="s">
        <v>238</v>
      </c>
      <c r="M28" s="61">
        <f t="shared" si="0"/>
        <v>234630.00000199999</v>
      </c>
      <c r="N28" s="66">
        <f>+F218</f>
        <v>9.9999999999999995E-7</v>
      </c>
      <c r="O28" s="66">
        <f>+G218</f>
        <v>9.9999999999999995E-7</v>
      </c>
      <c r="P28" s="66">
        <f>+H218</f>
        <v>234630</v>
      </c>
      <c r="R28" s="373">
        <f ca="1">+OFFSET('Parcel Breakdown'!$AP$23,0,Assumptions!Q40)</f>
        <v>234630</v>
      </c>
      <c r="S28" s="374">
        <f t="shared" ca="1" si="1"/>
        <v>-1.9999861251562834E-6</v>
      </c>
    </row>
    <row r="29" spans="1:21" ht="16" customHeight="1" x14ac:dyDescent="0.25">
      <c r="B29" s="55" t="s">
        <v>112</v>
      </c>
      <c r="C29" s="54"/>
      <c r="D29" s="54"/>
      <c r="E29" s="58">
        <v>120</v>
      </c>
      <c r="F29" s="59">
        <f>+$E$29</f>
        <v>120</v>
      </c>
      <c r="G29" s="59">
        <f t="shared" ref="G29:H29" si="5">+$E$29</f>
        <v>120</v>
      </c>
      <c r="H29" s="59">
        <f t="shared" si="5"/>
        <v>120</v>
      </c>
      <c r="J29" s="64" t="s">
        <v>213</v>
      </c>
      <c r="M29" s="61">
        <f t="shared" si="0"/>
        <v>237000</v>
      </c>
      <c r="N29" s="66">
        <f t="shared" ref="N29:P30" si="6">+F204</f>
        <v>83000</v>
      </c>
      <c r="O29" s="66">
        <f t="shared" si="6"/>
        <v>105999.99999999999</v>
      </c>
      <c r="P29" s="66">
        <f t="shared" si="6"/>
        <v>48000.000000000007</v>
      </c>
      <c r="R29" s="373">
        <f ca="1">+OFFSET('Parcel Breakdown'!$AP$23,0,Assumptions!Q41)</f>
        <v>237000</v>
      </c>
      <c r="S29" s="374">
        <f t="shared" ca="1" si="1"/>
        <v>0</v>
      </c>
    </row>
    <row r="30" spans="1:21" ht="16" customHeight="1" x14ac:dyDescent="0.25">
      <c r="B30" s="52" t="s">
        <v>113</v>
      </c>
      <c r="F30" s="56">
        <f>+EOMONTH($E$22,F29)</f>
        <v>47848</v>
      </c>
      <c r="G30" s="56">
        <f>+EOMONTH($E$22,G29)</f>
        <v>47848</v>
      </c>
      <c r="H30" s="56">
        <f>+EOMONTH($E$22,H29)</f>
        <v>47848</v>
      </c>
      <c r="J30" s="64" t="s">
        <v>28</v>
      </c>
      <c r="M30" s="61">
        <f t="shared" si="0"/>
        <v>150000</v>
      </c>
      <c r="N30" s="66">
        <f t="shared" si="6"/>
        <v>0</v>
      </c>
      <c r="O30" s="66">
        <f t="shared" si="6"/>
        <v>0</v>
      </c>
      <c r="P30" s="66">
        <f t="shared" si="6"/>
        <v>150000</v>
      </c>
      <c r="R30" s="373">
        <f ca="1">+OFFSET('Parcel Breakdown'!$AP$23,0,Assumptions!Q42)</f>
        <v>150000</v>
      </c>
      <c r="S30" s="374">
        <f t="shared" ca="1" si="1"/>
        <v>0</v>
      </c>
    </row>
    <row r="31" spans="1:21" ht="16" customHeight="1" x14ac:dyDescent="0.25">
      <c r="J31" s="76" t="s">
        <v>229</v>
      </c>
      <c r="K31" s="76"/>
      <c r="L31" s="76"/>
      <c r="M31" s="131">
        <f t="shared" si="0"/>
        <v>3996629.019431158</v>
      </c>
      <c r="N31" s="132">
        <f>+SUM(N22:N30)</f>
        <v>1489114.8756981075</v>
      </c>
      <c r="O31" s="132">
        <f>+SUM(O22:O30)</f>
        <v>863621.300101</v>
      </c>
      <c r="P31" s="132">
        <f>+SUM(P22:P30)</f>
        <v>1643892.8436320501</v>
      </c>
      <c r="R31" s="373"/>
      <c r="S31" s="374">
        <f ca="1">+SUM(S22:S30)</f>
        <v>-1.0199999087490141E-4</v>
      </c>
    </row>
    <row r="32" spans="1:21" ht="16" customHeight="1" x14ac:dyDescent="0.25">
      <c r="F32" s="60"/>
      <c r="G32" s="60"/>
      <c r="H32" s="60"/>
      <c r="R32" s="196"/>
    </row>
    <row r="33" spans="2:18" ht="16" customHeight="1" thickBot="1" x14ac:dyDescent="0.3">
      <c r="B33" s="802" t="s">
        <v>763</v>
      </c>
      <c r="C33" s="802"/>
      <c r="D33" s="54"/>
      <c r="E33" s="50" t="s">
        <v>63</v>
      </c>
      <c r="F33" s="50" t="str">
        <f>+F$21</f>
        <v>I</v>
      </c>
      <c r="G33" s="50" t="str">
        <f t="shared" ref="G33:H33" si="7">+G$21</f>
        <v>II</v>
      </c>
      <c r="H33" s="50" t="str">
        <f t="shared" si="7"/>
        <v>III</v>
      </c>
      <c r="J33" s="97" t="s">
        <v>227</v>
      </c>
    </row>
    <row r="34" spans="2:18" ht="16" customHeight="1" x14ac:dyDescent="0.25">
      <c r="B34" s="55" t="s">
        <v>115</v>
      </c>
      <c r="C34" s="54"/>
      <c r="D34" s="54"/>
      <c r="E34" s="61"/>
      <c r="F34" s="372">
        <f>+'Parcel Breakdown'!AP36</f>
        <v>99.392350126746777</v>
      </c>
      <c r="G34" s="372">
        <f>+'Parcel Breakdown'!AP37</f>
        <v>69.043109090909098</v>
      </c>
      <c r="H34" s="372">
        <f>+'Parcel Breakdown'!AP38</f>
        <v>83.056687933100051</v>
      </c>
      <c r="J34" s="64" t="s">
        <v>143</v>
      </c>
      <c r="K34" s="54"/>
      <c r="L34" s="54"/>
      <c r="M34" s="61">
        <f t="shared" ref="M34:M43" ca="1" si="8">+SUM(N34:P34)</f>
        <v>323241.01511111116</v>
      </c>
      <c r="N34" s="372">
        <f ca="1">+OFFSET('Parcel Breakdown'!$Z$24,0,Assumptions!$Q34)</f>
        <v>125993.56</v>
      </c>
      <c r="O34" s="372">
        <f ca="1">+OFFSET('Parcel Breakdown'!$Z$24,1,Assumptions!$Q34)</f>
        <v>90127</v>
      </c>
      <c r="P34" s="372">
        <f ca="1">+OFFSET('Parcel Breakdown'!$Z$24,2,Assumptions!$Q34)</f>
        <v>107120.45511111115</v>
      </c>
      <c r="Q34" s="60">
        <v>0</v>
      </c>
      <c r="R34" s="196"/>
    </row>
    <row r="35" spans="2:18" ht="16" customHeight="1" x14ac:dyDescent="0.25">
      <c r="B35" s="64" t="s">
        <v>117</v>
      </c>
      <c r="C35" s="54"/>
      <c r="D35" s="54"/>
      <c r="E35" s="61"/>
      <c r="F35" s="66">
        <f>+F62</f>
        <v>550</v>
      </c>
      <c r="G35" s="66">
        <f t="shared" ref="G35:H35" si="9">+G62</f>
        <v>550</v>
      </c>
      <c r="H35" s="66">
        <f t="shared" si="9"/>
        <v>550</v>
      </c>
      <c r="J35" s="64" t="s">
        <v>144</v>
      </c>
      <c r="K35" s="54"/>
      <c r="L35" s="54"/>
      <c r="M35" s="61">
        <f t="shared" ca="1" si="8"/>
        <v>1292964.0604444447</v>
      </c>
      <c r="N35" s="372">
        <f ca="1">+OFFSET('Parcel Breakdown'!$Z$24,0,Assumptions!$Q35)</f>
        <v>503974.24</v>
      </c>
      <c r="O35" s="372">
        <f ca="1">+OFFSET('Parcel Breakdown'!$Z$24,1,Assumptions!$Q35)</f>
        <v>360508</v>
      </c>
      <c r="P35" s="372">
        <f ca="1">+OFFSET('Parcel Breakdown'!$Z$24,2,Assumptions!$Q35)</f>
        <v>428481.8204444446</v>
      </c>
      <c r="Q35" s="60">
        <f>+Q34+1</f>
        <v>1</v>
      </c>
    </row>
    <row r="36" spans="2:18" ht="16" customHeight="1" x14ac:dyDescent="0.25">
      <c r="B36" s="64" t="s">
        <v>119</v>
      </c>
      <c r="C36" s="54"/>
      <c r="D36" s="54"/>
      <c r="E36" s="54"/>
      <c r="F36" s="69">
        <f>+F37*12/F35</f>
        <v>14.967272727272727</v>
      </c>
      <c r="G36" s="69">
        <f t="shared" ref="G36:H36" si="10">+G37*12/G35</f>
        <v>15.571950545454545</v>
      </c>
      <c r="H36" s="69">
        <f t="shared" si="10"/>
        <v>16.201057347490906</v>
      </c>
      <c r="J36" s="64" t="s">
        <v>25</v>
      </c>
      <c r="K36" s="54"/>
      <c r="L36" s="54"/>
      <c r="M36" s="61">
        <f t="shared" ca="1" si="8"/>
        <v>476705</v>
      </c>
      <c r="N36" s="372">
        <f ca="1">+OFFSET('Parcel Breakdown'!$Z$24,0,Assumptions!$Q36)</f>
        <v>244375</v>
      </c>
      <c r="O36" s="372">
        <f ca="1">+OFFSET('Parcel Breakdown'!$Z$24,1,Assumptions!$Q36)</f>
        <v>154000</v>
      </c>
      <c r="P36" s="372">
        <f ca="1">+OFFSET('Parcel Breakdown'!$Z$24,2,Assumptions!$Q36)</f>
        <v>78330</v>
      </c>
      <c r="Q36" s="60">
        <f t="shared" ref="Q36:Q42" si="11">+Q35+1</f>
        <v>2</v>
      </c>
    </row>
    <row r="37" spans="2:18" ht="16" customHeight="1" x14ac:dyDescent="0.25">
      <c r="B37" s="64" t="s">
        <v>121</v>
      </c>
      <c r="C37" s="54"/>
      <c r="D37" s="54"/>
      <c r="E37" s="70"/>
      <c r="F37" s="221">
        <v>686</v>
      </c>
      <c r="G37" s="221">
        <f>+F37*(1+0.02)^2</f>
        <v>713.71439999999996</v>
      </c>
      <c r="H37" s="221">
        <f>+G37*(1+0.02)^2</f>
        <v>742.5484617599999</v>
      </c>
      <c r="J37" s="64" t="s">
        <v>26</v>
      </c>
      <c r="K37" s="54"/>
      <c r="L37" s="54"/>
      <c r="M37" s="61">
        <f t="shared" ca="1" si="8"/>
        <v>358884.81333333335</v>
      </c>
      <c r="N37" s="372">
        <f ca="1">+OFFSET('Parcel Breakdown'!$Z$24,0,Assumptions!$Q37)</f>
        <v>208084.2</v>
      </c>
      <c r="O37" s="372">
        <f ca="1">+OFFSET('Parcel Breakdown'!$Z$24,1,Assumptions!$Q37)</f>
        <v>128434</v>
      </c>
      <c r="P37" s="372">
        <f ca="1">+OFFSET('Parcel Breakdown'!$Z$24,2,Assumptions!$Q37)</f>
        <v>22366.613333333331</v>
      </c>
      <c r="Q37" s="60">
        <f t="shared" si="11"/>
        <v>3</v>
      </c>
    </row>
    <row r="38" spans="2:18" ht="16" customHeight="1" x14ac:dyDescent="0.25">
      <c r="B38" s="55" t="s">
        <v>123</v>
      </c>
      <c r="C38" s="54"/>
      <c r="D38" s="54"/>
      <c r="E38" s="61"/>
      <c r="F38" s="372">
        <f>+'Parcel Breakdown'!AR36</f>
        <v>29.155089370512389</v>
      </c>
      <c r="G38" s="372">
        <f>+'Parcel Breakdown'!AR37</f>
        <v>20.252645333333337</v>
      </c>
      <c r="H38" s="372">
        <f>+'Parcel Breakdown'!AR38</f>
        <v>24.363295127042679</v>
      </c>
      <c r="J38" s="64" t="s">
        <v>147</v>
      </c>
      <c r="K38" s="54"/>
      <c r="L38" s="54"/>
      <c r="M38" s="61">
        <f t="shared" ca="1" si="8"/>
        <v>157335</v>
      </c>
      <c r="N38" s="372">
        <f ca="1">+OFFSET('Parcel Breakdown'!$Z$24,0,Assumptions!$Q38)</f>
        <v>79125</v>
      </c>
      <c r="O38" s="372">
        <f ca="1">+OFFSET('Parcel Breakdown'!$Z$24,1,Assumptions!$Q38)</f>
        <v>0</v>
      </c>
      <c r="P38" s="372">
        <f ca="1">+OFFSET('Parcel Breakdown'!$Z$24,2,Assumptions!$Q38)</f>
        <v>78210</v>
      </c>
      <c r="Q38" s="60">
        <f t="shared" si="11"/>
        <v>4</v>
      </c>
    </row>
    <row r="39" spans="2:18" ht="16" customHeight="1" x14ac:dyDescent="0.25">
      <c r="B39" s="64" t="s">
        <v>117</v>
      </c>
      <c r="C39" s="54"/>
      <c r="D39" s="54"/>
      <c r="E39" s="61"/>
      <c r="F39" s="66">
        <f t="shared" ref="F39:H39" si="12">+F66</f>
        <v>750</v>
      </c>
      <c r="G39" s="66">
        <f t="shared" si="12"/>
        <v>750</v>
      </c>
      <c r="H39" s="66">
        <f t="shared" si="12"/>
        <v>750</v>
      </c>
      <c r="J39" s="64" t="s">
        <v>148</v>
      </c>
      <c r="K39" s="54"/>
      <c r="L39" s="54"/>
      <c r="M39" s="61">
        <f t="shared" ca="1" si="8"/>
        <v>1218102.111111111</v>
      </c>
      <c r="N39" s="372">
        <f ca="1">+OFFSET('Parcel Breakdown'!$Z$24,0,Assumptions!$Q39)</f>
        <v>455632</v>
      </c>
      <c r="O39" s="372">
        <f ca="1">+OFFSET('Parcel Breakdown'!$Z$24,1,Assumptions!$Q39)</f>
        <v>149930</v>
      </c>
      <c r="P39" s="372">
        <f ca="1">+OFFSET('Parcel Breakdown'!$Z$24,2,Assumptions!$Q39)</f>
        <v>612540.11111111101</v>
      </c>
      <c r="Q39" s="60">
        <f t="shared" si="11"/>
        <v>5</v>
      </c>
    </row>
    <row r="40" spans="2:18" ht="16" customHeight="1" x14ac:dyDescent="0.25">
      <c r="B40" s="64" t="s">
        <v>119</v>
      </c>
      <c r="C40" s="54"/>
      <c r="D40" s="54"/>
      <c r="E40" s="54"/>
      <c r="F40" s="69">
        <f>+F41*12/F39</f>
        <v>11.76</v>
      </c>
      <c r="G40" s="69">
        <f t="shared" ref="G40:H40" si="13">+G41*12/G39</f>
        <v>12.235104</v>
      </c>
      <c r="H40" s="69">
        <f t="shared" si="13"/>
        <v>12.729402201599999</v>
      </c>
      <c r="J40" s="64" t="s">
        <v>238</v>
      </c>
      <c r="M40" s="61">
        <f t="shared" ca="1" si="8"/>
        <v>234630</v>
      </c>
      <c r="N40" s="372">
        <f ca="1">+OFFSET('Parcel Breakdown'!$Z$24,0,Assumptions!$Q40)</f>
        <v>0</v>
      </c>
      <c r="O40" s="372">
        <f ca="1">+OFFSET('Parcel Breakdown'!$Z$24,1,Assumptions!$Q40)</f>
        <v>0</v>
      </c>
      <c r="P40" s="372">
        <f ca="1">+OFFSET('Parcel Breakdown'!$Z$24,2,Assumptions!$Q40)</f>
        <v>234630</v>
      </c>
      <c r="Q40" s="60">
        <f t="shared" si="11"/>
        <v>6</v>
      </c>
    </row>
    <row r="41" spans="2:18" ht="16" customHeight="1" x14ac:dyDescent="0.25">
      <c r="B41" s="64" t="s">
        <v>121</v>
      </c>
      <c r="C41" s="54"/>
      <c r="D41" s="54"/>
      <c r="E41" s="70"/>
      <c r="F41" s="221">
        <v>735</v>
      </c>
      <c r="G41" s="221">
        <f>+F41*(1+0.02)^2</f>
        <v>764.69399999999996</v>
      </c>
      <c r="H41" s="221">
        <f>+G41*(1+0.02)^2</f>
        <v>795.58763759999999</v>
      </c>
      <c r="J41" s="64" t="s">
        <v>213</v>
      </c>
      <c r="M41" s="61">
        <f t="shared" ca="1" si="8"/>
        <v>237000</v>
      </c>
      <c r="N41" s="372">
        <f ca="1">+OFFSET('Parcel Breakdown'!$Z$24,0,Assumptions!$Q41)</f>
        <v>83000</v>
      </c>
      <c r="O41" s="372">
        <f ca="1">+OFFSET('Parcel Breakdown'!$Z$24,1,Assumptions!$Q41)</f>
        <v>106000</v>
      </c>
      <c r="P41" s="372">
        <f ca="1">+OFFSET('Parcel Breakdown'!$Z$24,2,Assumptions!$Q41)</f>
        <v>48000</v>
      </c>
      <c r="Q41" s="60">
        <f t="shared" si="11"/>
        <v>7</v>
      </c>
    </row>
    <row r="42" spans="2:18" ht="16" customHeight="1" x14ac:dyDescent="0.25">
      <c r="B42" s="55" t="s">
        <v>127</v>
      </c>
      <c r="E42" s="61"/>
      <c r="F42" s="372">
        <f>+'Parcel Breakdown'!AT36</f>
        <v>9.9392350126746773</v>
      </c>
      <c r="G42" s="372">
        <f>+'Parcel Breakdown'!AT37</f>
        <v>6.9043109090909107</v>
      </c>
      <c r="H42" s="372">
        <f>+'Parcel Breakdown'!AT38</f>
        <v>8.3056687933100051</v>
      </c>
      <c r="J42" s="64" t="s">
        <v>28</v>
      </c>
      <c r="M42" s="61">
        <f t="shared" ca="1" si="8"/>
        <v>150000</v>
      </c>
      <c r="N42" s="372">
        <f ca="1">+OFFSET('Parcel Breakdown'!$Z$24,0,Assumptions!$Q42)</f>
        <v>0</v>
      </c>
      <c r="O42" s="372">
        <f ca="1">+OFFSET('Parcel Breakdown'!$Z$24,1,Assumptions!$Q42)</f>
        <v>0</v>
      </c>
      <c r="P42" s="372">
        <f ca="1">+OFFSET('Parcel Breakdown'!$Z$24,2,Assumptions!$Q42)</f>
        <v>150000</v>
      </c>
      <c r="Q42" s="60">
        <f t="shared" si="11"/>
        <v>8</v>
      </c>
    </row>
    <row r="43" spans="2:18" ht="16" customHeight="1" x14ac:dyDescent="0.25">
      <c r="B43" s="64" t="s">
        <v>117</v>
      </c>
      <c r="E43" s="61"/>
      <c r="F43" s="66">
        <f t="shared" ref="F43:H43" si="14">+F70</f>
        <v>1100</v>
      </c>
      <c r="G43" s="66">
        <f t="shared" si="14"/>
        <v>1100</v>
      </c>
      <c r="H43" s="66">
        <f t="shared" si="14"/>
        <v>1100</v>
      </c>
      <c r="J43" s="76" t="s">
        <v>230</v>
      </c>
      <c r="K43" s="76"/>
      <c r="L43" s="76"/>
      <c r="M43" s="131">
        <f t="shared" ca="1" si="8"/>
        <v>4448862</v>
      </c>
      <c r="N43" s="132">
        <f ca="1">+SUM(N34:N42)</f>
        <v>1700184</v>
      </c>
      <c r="O43" s="132">
        <f ca="1">+SUM(O34:O42)</f>
        <v>988999</v>
      </c>
      <c r="P43" s="132">
        <f ca="1">+SUM(P34:P42)</f>
        <v>1759679</v>
      </c>
    </row>
    <row r="44" spans="2:18" ht="16" customHeight="1" x14ac:dyDescent="0.25">
      <c r="B44" s="64" t="s">
        <v>119</v>
      </c>
      <c r="E44" s="54"/>
      <c r="F44" s="69">
        <f>+F45*12/F43</f>
        <v>9.6109090909090913</v>
      </c>
      <c r="G44" s="69">
        <f t="shared" ref="G44:H44" si="15">+G45*12/G43</f>
        <v>9.9991898181818186</v>
      </c>
      <c r="H44" s="69">
        <f t="shared" si="15"/>
        <v>10.403157086836364</v>
      </c>
    </row>
    <row r="45" spans="2:18" ht="16" customHeight="1" x14ac:dyDescent="0.25">
      <c r="B45" s="64" t="s">
        <v>121</v>
      </c>
      <c r="E45" s="70"/>
      <c r="F45" s="221">
        <v>881</v>
      </c>
      <c r="G45" s="221">
        <f>+F45*(1+0.02)^2</f>
        <v>916.5924</v>
      </c>
      <c r="H45" s="221">
        <f>+G45*(1+0.02)^2</f>
        <v>953.62273296000001</v>
      </c>
      <c r="J45" s="97" t="s">
        <v>233</v>
      </c>
    </row>
    <row r="46" spans="2:18" ht="16" customHeight="1" x14ac:dyDescent="0.25">
      <c r="B46" s="55" t="s">
        <v>132</v>
      </c>
      <c r="E46" s="61"/>
      <c r="F46" s="372">
        <f>+'Parcel Breakdown'!AV36</f>
        <v>3.6443861713140486</v>
      </c>
      <c r="G46" s="372">
        <f>+'Parcel Breakdown'!AV37</f>
        <v>2.5315806666666671</v>
      </c>
      <c r="H46" s="372">
        <f>+'Parcel Breakdown'!AV38</f>
        <v>3.0454118908803349</v>
      </c>
      <c r="J46" s="64" t="s">
        <v>143</v>
      </c>
      <c r="K46" s="54"/>
      <c r="L46" s="54"/>
      <c r="M46" s="61">
        <f>+SUM(N46:P46)</f>
        <v>378.49568146188767</v>
      </c>
      <c r="N46" s="66">
        <f>+F56</f>
        <v>149.58548694075392</v>
      </c>
      <c r="O46" s="66">
        <f>+G56</f>
        <v>103.9098791818182</v>
      </c>
      <c r="P46" s="66">
        <f>+H56</f>
        <v>125.00031533931556</v>
      </c>
    </row>
    <row r="47" spans="2:18" ht="16" customHeight="1" x14ac:dyDescent="0.25">
      <c r="B47" s="64" t="s">
        <v>117</v>
      </c>
      <c r="E47" s="61"/>
      <c r="F47" s="66">
        <f t="shared" ref="F47:H47" si="16">+F74</f>
        <v>1500</v>
      </c>
      <c r="G47" s="66">
        <f t="shared" si="16"/>
        <v>1500</v>
      </c>
      <c r="H47" s="66">
        <f t="shared" si="16"/>
        <v>1500</v>
      </c>
      <c r="J47" s="64" t="s">
        <v>144</v>
      </c>
      <c r="M47" s="61">
        <f>+SUM(N47:P47)</f>
        <v>1513.9827258475507</v>
      </c>
      <c r="N47" s="66">
        <f>+F84</f>
        <v>598.3419477630157</v>
      </c>
      <c r="O47" s="66">
        <f>+G84</f>
        <v>415.63951672727279</v>
      </c>
      <c r="P47" s="66">
        <f>+H84</f>
        <v>500.00126135726225</v>
      </c>
    </row>
    <row r="48" spans="2:18" ht="16" customHeight="1" x14ac:dyDescent="0.25">
      <c r="B48" s="64" t="s">
        <v>119</v>
      </c>
      <c r="E48" s="54"/>
      <c r="F48" s="69">
        <f>+F49*12/F47</f>
        <v>8.1440000000000001</v>
      </c>
      <c r="G48" s="69">
        <f t="shared" ref="G48:H48" si="17">+G49*12/G47</f>
        <v>8.4730175999999986</v>
      </c>
      <c r="H48" s="69">
        <f t="shared" si="17"/>
        <v>8.8153275110399996</v>
      </c>
      <c r="J48" s="64" t="s">
        <v>26</v>
      </c>
      <c r="M48" s="61">
        <f>+SUM(N48:P48)</f>
        <v>615.96735555555563</v>
      </c>
      <c r="N48" s="66">
        <f>+F100</f>
        <v>346.80700000000007</v>
      </c>
      <c r="O48" s="66">
        <f>+G100</f>
        <v>231.88266666666669</v>
      </c>
      <c r="P48" s="66">
        <f>+H100</f>
        <v>37.277688888888889</v>
      </c>
    </row>
    <row r="49" spans="2:18" ht="16" customHeight="1" x14ac:dyDescent="0.25">
      <c r="B49" s="64" t="s">
        <v>121</v>
      </c>
      <c r="E49" s="70"/>
      <c r="F49" s="221">
        <v>1018</v>
      </c>
      <c r="G49" s="221">
        <f>+F49*(1+0.02)^2</f>
        <v>1059.1271999999999</v>
      </c>
      <c r="H49" s="221">
        <f>+G49*(1+0.02)^2</f>
        <v>1101.9159388799999</v>
      </c>
      <c r="J49" s="64" t="s">
        <v>213</v>
      </c>
      <c r="M49" s="61">
        <f>+SUM(N49:P49)</f>
        <v>718.18181818181824</v>
      </c>
      <c r="N49" s="66">
        <f>+F177+F184</f>
        <v>251.5151515151515</v>
      </c>
      <c r="O49" s="66">
        <f>+G177+G184</f>
        <v>321.21212121212119</v>
      </c>
      <c r="P49" s="66">
        <f>+H177+H184</f>
        <v>145.45454545454547</v>
      </c>
    </row>
    <row r="50" spans="2:18" ht="16" customHeight="1" x14ac:dyDescent="0.25">
      <c r="B50" s="55" t="s">
        <v>379</v>
      </c>
      <c r="E50" s="61"/>
      <c r="F50" s="372">
        <f>+'Parcel Breakdown'!AX36</f>
        <v>7.4544262595060076</v>
      </c>
      <c r="G50" s="372">
        <f>+'Parcel Breakdown'!AX37</f>
        <v>5.1782331818181824</v>
      </c>
      <c r="H50" s="372">
        <f>+'Parcel Breakdown'!AX38</f>
        <v>6.2292515949825038</v>
      </c>
      <c r="J50" s="64" t="s">
        <v>28</v>
      </c>
      <c r="M50" s="61">
        <f>+SUM(N50:P50)</f>
        <v>454.54545454545456</v>
      </c>
      <c r="N50" s="66">
        <f>+F191+F197</f>
        <v>0</v>
      </c>
      <c r="O50" s="66">
        <f>+G191+G197</f>
        <v>0</v>
      </c>
      <c r="P50" s="66">
        <f>+H191+H197</f>
        <v>454.54545454545456</v>
      </c>
    </row>
    <row r="51" spans="2:18" ht="16" customHeight="1" x14ac:dyDescent="0.25">
      <c r="B51" s="64" t="s">
        <v>117</v>
      </c>
      <c r="E51" s="61"/>
      <c r="F51" s="66">
        <f t="shared" ref="F51:H51" si="18">+F78</f>
        <v>2200</v>
      </c>
      <c r="G51" s="66">
        <f t="shared" si="18"/>
        <v>2200</v>
      </c>
      <c r="H51" s="66">
        <f t="shared" si="18"/>
        <v>2200</v>
      </c>
    </row>
    <row r="52" spans="2:18" ht="16" customHeight="1" thickBot="1" x14ac:dyDescent="0.3">
      <c r="B52" s="64" t="s">
        <v>119</v>
      </c>
      <c r="E52" s="54"/>
      <c r="F52" s="69">
        <f>+F53*12/F51</f>
        <v>6.1963636363636363</v>
      </c>
      <c r="G52" s="69">
        <f t="shared" ref="G52:H52" si="19">+G53*12/G51</f>
        <v>6.4466967272727267</v>
      </c>
      <c r="H52" s="69">
        <f t="shared" si="19"/>
        <v>6.7071432750545439</v>
      </c>
      <c r="J52" s="802" t="s">
        <v>114</v>
      </c>
      <c r="K52" s="802"/>
      <c r="L52" s="54"/>
      <c r="M52" s="50" t="s">
        <v>63</v>
      </c>
      <c r="N52" s="50" t="str">
        <f>+F$21</f>
        <v>I</v>
      </c>
      <c r="O52" s="50" t="str">
        <f>+G$21</f>
        <v>II</v>
      </c>
      <c r="P52" s="50" t="str">
        <f>+H$21</f>
        <v>III</v>
      </c>
    </row>
    <row r="53" spans="2:18" ht="16" customHeight="1" x14ac:dyDescent="0.25">
      <c r="B53" s="64" t="s">
        <v>121</v>
      </c>
      <c r="E53" s="70"/>
      <c r="F53" s="221">
        <v>1136</v>
      </c>
      <c r="G53" s="221">
        <f>+F53*(1+0.02)^2</f>
        <v>1181.8943999999999</v>
      </c>
      <c r="H53" s="221">
        <f>+G53*(1+0.02)^2</f>
        <v>1229.6429337599998</v>
      </c>
      <c r="J53" s="63" t="s">
        <v>116</v>
      </c>
    </row>
    <row r="54" spans="2:18" ht="16" customHeight="1" x14ac:dyDescent="0.25">
      <c r="B54" s="75" t="s">
        <v>764</v>
      </c>
      <c r="C54" s="76"/>
      <c r="D54" s="76"/>
      <c r="E54" s="77">
        <f>+SUM(F54:H54)</f>
        <v>3485202.7131982748</v>
      </c>
      <c r="F54" s="78">
        <f>+F36*F35*F34+F38*F39*F40+F42*F43*F44+F46*F47*F48+F50*F51*F52</f>
        <v>1326561.8672836539</v>
      </c>
      <c r="G54" s="78">
        <f>+G36*G35*G34+G38*G39*G40+G42*G43*G44+G46*G47*G48+G50*G51*G52</f>
        <v>958727.6063824374</v>
      </c>
      <c r="H54" s="78">
        <f>+H36*H35*H34+H38*H39*H40+H42*H43*H44+H46*H47*H48+H50*H51*H52</f>
        <v>1199913.2395321834</v>
      </c>
      <c r="J54" s="64" t="s">
        <v>118</v>
      </c>
      <c r="K54" s="54"/>
      <c r="L54" s="54"/>
      <c r="M54" s="67">
        <v>0.03</v>
      </c>
      <c r="N54" s="68">
        <f t="shared" ref="N54:P60" si="20">+$M54</f>
        <v>0.03</v>
      </c>
      <c r="O54" s="68">
        <f t="shared" si="20"/>
        <v>0.03</v>
      </c>
      <c r="P54" s="68">
        <f t="shared" si="20"/>
        <v>0.03</v>
      </c>
    </row>
    <row r="55" spans="2:18" ht="16" customHeight="1" x14ac:dyDescent="0.25">
      <c r="B55" s="79" t="s">
        <v>135</v>
      </c>
      <c r="C55" s="80"/>
      <c r="D55" s="80"/>
      <c r="E55" s="81">
        <f>+SUM(F55:H55)</f>
        <v>276641.36186583154</v>
      </c>
      <c r="F55" s="82">
        <f>+F34*F35+F38*F39+F42*F43+F46*F47+F50*F51</f>
        <v>109331.58513942146</v>
      </c>
      <c r="G55" s="82">
        <f t="shared" ref="G55:H55" si="21">+G34*G35+G38*G39+G42*G43+G46*G47+G50*G51</f>
        <v>75947.420000000013</v>
      </c>
      <c r="H55" s="82">
        <f t="shared" si="21"/>
        <v>91362.356726410042</v>
      </c>
      <c r="J55" s="64" t="s">
        <v>120</v>
      </c>
      <c r="K55" s="54"/>
      <c r="L55" s="54"/>
      <c r="M55" s="67">
        <v>0.05</v>
      </c>
      <c r="N55" s="68">
        <f t="shared" si="20"/>
        <v>0.05</v>
      </c>
      <c r="O55" s="68">
        <f t="shared" si="20"/>
        <v>0.05</v>
      </c>
      <c r="P55" s="68">
        <f t="shared" si="20"/>
        <v>0.05</v>
      </c>
    </row>
    <row r="56" spans="2:18" ht="16" customHeight="1" x14ac:dyDescent="0.25">
      <c r="B56" s="64" t="s">
        <v>136</v>
      </c>
      <c r="C56" s="53"/>
      <c r="E56" s="61">
        <f>+SUM(F56:H56)</f>
        <v>378.49568146188767</v>
      </c>
      <c r="F56" s="66">
        <f>+F34+F38+F42+F46+F50</f>
        <v>149.58548694075392</v>
      </c>
      <c r="G56" s="66">
        <f t="shared" ref="G56:H56" si="22">+G34+G38+G42+G46+G50</f>
        <v>103.9098791818182</v>
      </c>
      <c r="H56" s="66">
        <f t="shared" si="22"/>
        <v>125.00031533931556</v>
      </c>
      <c r="J56" s="64" t="s">
        <v>122</v>
      </c>
      <c r="K56" s="54"/>
      <c r="L56" s="54"/>
      <c r="M56" s="67">
        <v>0.1</v>
      </c>
      <c r="N56" s="68">
        <f t="shared" si="20"/>
        <v>0.1</v>
      </c>
      <c r="O56" s="68">
        <f t="shared" si="20"/>
        <v>0.1</v>
      </c>
      <c r="P56" s="68">
        <f t="shared" si="20"/>
        <v>0.1</v>
      </c>
    </row>
    <row r="57" spans="2:18" ht="16" customHeight="1" x14ac:dyDescent="0.25">
      <c r="B57" s="64" t="s">
        <v>138</v>
      </c>
      <c r="C57" s="53"/>
      <c r="E57" s="83">
        <f>+IFERROR(E54/E55,"")</f>
        <v>12.59827051779974</v>
      </c>
      <c r="F57" s="69">
        <f>+IFERROR(F54/F55,"")</f>
        <v>12.133381818181819</v>
      </c>
      <c r="G57" s="69">
        <f t="shared" ref="G57:H57" si="23">+IFERROR(G54/G55,"")</f>
        <v>12.623570443636364</v>
      </c>
      <c r="H57" s="69">
        <f t="shared" si="23"/>
        <v>13.133562689559271</v>
      </c>
      <c r="J57" s="64" t="s">
        <v>124</v>
      </c>
      <c r="K57" s="54"/>
      <c r="L57" s="54"/>
      <c r="M57" s="67">
        <v>0.05</v>
      </c>
      <c r="N57" s="68">
        <f t="shared" si="20"/>
        <v>0.05</v>
      </c>
      <c r="O57" s="68">
        <f t="shared" si="20"/>
        <v>0.05</v>
      </c>
      <c r="P57" s="68">
        <f t="shared" si="20"/>
        <v>0.05</v>
      </c>
    </row>
    <row r="58" spans="2:18" ht="16" customHeight="1" x14ac:dyDescent="0.25">
      <c r="B58" s="84" t="s">
        <v>140</v>
      </c>
      <c r="C58" s="85"/>
      <c r="D58" s="85"/>
      <c r="E58" s="86">
        <f>+IFERROR(E54/E56/12,"")</f>
        <v>767.33652101770292</v>
      </c>
      <c r="F58" s="87">
        <f>+IFERROR(F54/F56/12,"")</f>
        <v>739.02104097452923</v>
      </c>
      <c r="G58" s="87">
        <f t="shared" ref="G58:H58" si="24">+IFERROR(G54/G56/12,"")</f>
        <v>768.87749102990028</v>
      </c>
      <c r="H58" s="87">
        <f t="shared" si="24"/>
        <v>799.94014166750821</v>
      </c>
      <c r="J58" s="64" t="s">
        <v>125</v>
      </c>
      <c r="K58" s="54"/>
      <c r="L58" s="54"/>
      <c r="M58" s="67">
        <v>0.1</v>
      </c>
      <c r="N58" s="68">
        <f t="shared" si="20"/>
        <v>0.1</v>
      </c>
      <c r="O58" s="68">
        <f t="shared" si="20"/>
        <v>0.1</v>
      </c>
      <c r="P58" s="68">
        <f t="shared" si="20"/>
        <v>0.1</v>
      </c>
    </row>
    <row r="59" spans="2:18" ht="16" customHeight="1" x14ac:dyDescent="0.25">
      <c r="F59" s="56"/>
      <c r="G59" s="56"/>
      <c r="H59" s="56"/>
      <c r="J59" s="64" t="s">
        <v>240</v>
      </c>
      <c r="K59" s="54"/>
      <c r="L59" s="54"/>
      <c r="M59" s="67">
        <v>0.06</v>
      </c>
      <c r="N59" s="68">
        <f t="shared" si="20"/>
        <v>0.06</v>
      </c>
      <c r="O59" s="68">
        <f t="shared" si="20"/>
        <v>0.06</v>
      </c>
      <c r="P59" s="68">
        <f t="shared" si="20"/>
        <v>0.06</v>
      </c>
    </row>
    <row r="60" spans="2:18" ht="16" customHeight="1" thickBot="1" x14ac:dyDescent="0.3">
      <c r="B60" s="802" t="s">
        <v>142</v>
      </c>
      <c r="C60" s="802"/>
      <c r="D60" s="54"/>
      <c r="E60" s="50" t="s">
        <v>63</v>
      </c>
      <c r="F60" s="50" t="str">
        <f>+F$21</f>
        <v>I</v>
      </c>
      <c r="G60" s="50" t="str">
        <f t="shared" ref="G60:H60" si="25">+G$21</f>
        <v>II</v>
      </c>
      <c r="H60" s="50" t="str">
        <f t="shared" si="25"/>
        <v>III</v>
      </c>
      <c r="J60" s="64" t="s">
        <v>222</v>
      </c>
      <c r="K60" s="54"/>
      <c r="L60" s="54"/>
      <c r="M60" s="67">
        <v>0.1</v>
      </c>
      <c r="N60" s="68">
        <f t="shared" si="20"/>
        <v>0.1</v>
      </c>
      <c r="O60" s="68">
        <f t="shared" si="20"/>
        <v>0.1</v>
      </c>
      <c r="P60" s="68">
        <f t="shared" si="20"/>
        <v>0.1</v>
      </c>
    </row>
    <row r="61" spans="2:18" ht="16" customHeight="1" x14ac:dyDescent="0.25">
      <c r="B61" s="55" t="s">
        <v>115</v>
      </c>
      <c r="C61" s="54"/>
      <c r="D61" s="54"/>
      <c r="E61" s="61"/>
      <c r="F61" s="372">
        <f>+'Parcel Breakdown'!AP30</f>
        <v>397.56940050698711</v>
      </c>
      <c r="G61" s="372">
        <f>+'Parcel Breakdown'!AP31</f>
        <v>276.17243636363639</v>
      </c>
      <c r="H61" s="372">
        <f>+'Parcel Breakdown'!AP33</f>
        <v>332.2267517324002</v>
      </c>
    </row>
    <row r="62" spans="2:18" ht="16" customHeight="1" x14ac:dyDescent="0.25">
      <c r="B62" s="64" t="s">
        <v>117</v>
      </c>
      <c r="C62" s="54"/>
      <c r="D62" s="54"/>
      <c r="E62" s="65">
        <v>550</v>
      </c>
      <c r="F62" s="66">
        <f t="shared" ref="F62:H62" si="26">+$E62</f>
        <v>550</v>
      </c>
      <c r="G62" s="66">
        <f t="shared" si="26"/>
        <v>550</v>
      </c>
      <c r="H62" s="66">
        <f t="shared" si="26"/>
        <v>550</v>
      </c>
      <c r="J62" s="63" t="s">
        <v>126</v>
      </c>
      <c r="M62" s="51"/>
    </row>
    <row r="63" spans="2:18" ht="16" customHeight="1" x14ac:dyDescent="0.25">
      <c r="B63" s="64" t="s">
        <v>119</v>
      </c>
      <c r="C63" s="54"/>
      <c r="D63" s="54"/>
      <c r="E63" s="54"/>
      <c r="F63" s="69">
        <f>+F64*12/F62</f>
        <v>31.636363636363637</v>
      </c>
      <c r="G63" s="69">
        <f t="shared" ref="G63:H63" si="27">+G64*12/G62</f>
        <v>32.914472727272724</v>
      </c>
      <c r="H63" s="69">
        <f t="shared" si="27"/>
        <v>34.244217425454544</v>
      </c>
      <c r="J63" s="64" t="s">
        <v>128</v>
      </c>
      <c r="M63" s="67">
        <v>0.02</v>
      </c>
      <c r="N63" s="68">
        <f t="shared" ref="N63:P74" si="28">+$M63</f>
        <v>0.02</v>
      </c>
      <c r="O63" s="68">
        <f t="shared" si="28"/>
        <v>0.02</v>
      </c>
      <c r="P63" s="68">
        <f t="shared" si="28"/>
        <v>0.02</v>
      </c>
    </row>
    <row r="64" spans="2:18" ht="16" customHeight="1" x14ac:dyDescent="0.25">
      <c r="B64" s="64" t="s">
        <v>121</v>
      </c>
      <c r="C64" s="54"/>
      <c r="D64" s="54"/>
      <c r="E64" s="70"/>
      <c r="F64" s="221">
        <v>1450</v>
      </c>
      <c r="G64" s="221">
        <f>+F64*(1+0.02)^2</f>
        <v>1508.58</v>
      </c>
      <c r="H64" s="221">
        <f>+G64*(1+0.02)^2</f>
        <v>1569.5266319999998</v>
      </c>
      <c r="J64" s="64" t="s">
        <v>129</v>
      </c>
      <c r="M64" s="67">
        <v>0.03</v>
      </c>
      <c r="N64" s="68">
        <f t="shared" si="28"/>
        <v>0.03</v>
      </c>
      <c r="O64" s="68">
        <f t="shared" si="28"/>
        <v>0.03</v>
      </c>
      <c r="P64" s="68">
        <f t="shared" si="28"/>
        <v>0.03</v>
      </c>
      <c r="R64" s="539"/>
    </row>
    <row r="65" spans="2:16" ht="16" customHeight="1" x14ac:dyDescent="0.25">
      <c r="B65" s="55" t="s">
        <v>123</v>
      </c>
      <c r="C65" s="54"/>
      <c r="D65" s="54"/>
      <c r="E65" s="61"/>
      <c r="F65" s="372">
        <f>+'Parcel Breakdown'!AR30</f>
        <v>116.62035748204956</v>
      </c>
      <c r="G65" s="372">
        <f>+'Parcel Breakdown'!AR31</f>
        <v>81.010581333333349</v>
      </c>
      <c r="H65" s="372">
        <f>+'Parcel Breakdown'!AR33</f>
        <v>97.453180508170718</v>
      </c>
      <c r="J65" s="64" t="s">
        <v>130</v>
      </c>
      <c r="M65" s="67">
        <v>0.1</v>
      </c>
      <c r="N65" s="68">
        <f t="shared" si="28"/>
        <v>0.1</v>
      </c>
      <c r="O65" s="68">
        <f t="shared" si="28"/>
        <v>0.1</v>
      </c>
      <c r="P65" s="68">
        <f t="shared" si="28"/>
        <v>0.1</v>
      </c>
    </row>
    <row r="66" spans="2:16" ht="16" customHeight="1" x14ac:dyDescent="0.25">
      <c r="B66" s="64" t="s">
        <v>117</v>
      </c>
      <c r="C66" s="54"/>
      <c r="D66" s="54"/>
      <c r="E66" s="65">
        <v>750</v>
      </c>
      <c r="F66" s="66">
        <f>+$E66</f>
        <v>750</v>
      </c>
      <c r="G66" s="66">
        <f t="shared" ref="G66:H66" si="29">+$E66</f>
        <v>750</v>
      </c>
      <c r="H66" s="66">
        <f t="shared" si="29"/>
        <v>750</v>
      </c>
      <c r="J66" s="72" t="s">
        <v>131</v>
      </c>
      <c r="M66" s="73">
        <v>5</v>
      </c>
      <c r="N66" s="74">
        <f t="shared" si="28"/>
        <v>5</v>
      </c>
      <c r="O66" s="74">
        <f t="shared" si="28"/>
        <v>5</v>
      </c>
      <c r="P66" s="74">
        <f t="shared" si="28"/>
        <v>5</v>
      </c>
    </row>
    <row r="67" spans="2:16" ht="16" customHeight="1" x14ac:dyDescent="0.25">
      <c r="B67" s="64" t="s">
        <v>119</v>
      </c>
      <c r="C67" s="54"/>
      <c r="D67" s="54"/>
      <c r="E67" s="54"/>
      <c r="F67" s="69">
        <f>+F68*12/F66</f>
        <v>27.2</v>
      </c>
      <c r="G67" s="69">
        <f t="shared" ref="G67:H67" si="30">+G68*12/G66</f>
        <v>28.29888</v>
      </c>
      <c r="H67" s="69">
        <f t="shared" si="30"/>
        <v>29.442154752</v>
      </c>
      <c r="J67" s="64" t="s">
        <v>304</v>
      </c>
      <c r="M67" s="67">
        <v>0.02</v>
      </c>
      <c r="N67" s="68">
        <f t="shared" si="28"/>
        <v>0.02</v>
      </c>
      <c r="O67" s="68">
        <f t="shared" si="28"/>
        <v>0.02</v>
      </c>
      <c r="P67" s="68">
        <f t="shared" si="28"/>
        <v>0.02</v>
      </c>
    </row>
    <row r="68" spans="2:16" ht="16" customHeight="1" x14ac:dyDescent="0.25">
      <c r="B68" s="64" t="s">
        <v>121</v>
      </c>
      <c r="C68" s="54"/>
      <c r="D68" s="54"/>
      <c r="E68" s="70"/>
      <c r="F68" s="221">
        <v>1700</v>
      </c>
      <c r="G68" s="221">
        <f>+F68*(1+0.02)^2</f>
        <v>1768.68</v>
      </c>
      <c r="H68" s="221">
        <f>+G68*(1+0.02)^2</f>
        <v>1840.1346720000001</v>
      </c>
      <c r="J68" s="64" t="s">
        <v>133</v>
      </c>
      <c r="M68" s="67">
        <v>0.05</v>
      </c>
      <c r="N68" s="68">
        <f t="shared" si="28"/>
        <v>0.05</v>
      </c>
      <c r="O68" s="68">
        <f t="shared" si="28"/>
        <v>0.05</v>
      </c>
      <c r="P68" s="68">
        <f t="shared" si="28"/>
        <v>0.05</v>
      </c>
    </row>
    <row r="69" spans="2:16" ht="16" customHeight="1" x14ac:dyDescent="0.25">
      <c r="B69" s="55" t="s">
        <v>127</v>
      </c>
      <c r="E69" s="61"/>
      <c r="F69" s="372">
        <f>+'Parcel Breakdown'!AT30</f>
        <v>39.756940050698709</v>
      </c>
      <c r="G69" s="372">
        <f>+'Parcel Breakdown'!AT31</f>
        <v>27.617243636363643</v>
      </c>
      <c r="H69" s="372">
        <f>+'Parcel Breakdown'!AT33</f>
        <v>33.22267517324002</v>
      </c>
      <c r="J69" s="72" t="s">
        <v>131</v>
      </c>
      <c r="M69" s="73">
        <v>5</v>
      </c>
      <c r="N69" s="74">
        <f t="shared" si="28"/>
        <v>5</v>
      </c>
      <c r="O69" s="74">
        <f t="shared" si="28"/>
        <v>5</v>
      </c>
      <c r="P69" s="74">
        <f t="shared" si="28"/>
        <v>5</v>
      </c>
    </row>
    <row r="70" spans="2:16" ht="16" customHeight="1" x14ac:dyDescent="0.25">
      <c r="B70" s="64" t="s">
        <v>117</v>
      </c>
      <c r="E70" s="65">
        <v>1100</v>
      </c>
      <c r="F70" s="66">
        <f>+$E70</f>
        <v>1100</v>
      </c>
      <c r="G70" s="66">
        <f t="shared" ref="G70:H70" si="31">+$E70</f>
        <v>1100</v>
      </c>
      <c r="H70" s="66">
        <f t="shared" si="31"/>
        <v>1100</v>
      </c>
      <c r="J70" s="64" t="s">
        <v>134</v>
      </c>
      <c r="M70" s="67">
        <v>0.1</v>
      </c>
      <c r="N70" s="68">
        <f t="shared" si="28"/>
        <v>0.1</v>
      </c>
      <c r="O70" s="68">
        <f t="shared" si="28"/>
        <v>0.1</v>
      </c>
      <c r="P70" s="68">
        <f t="shared" si="28"/>
        <v>0.1</v>
      </c>
    </row>
    <row r="71" spans="2:16" ht="16" customHeight="1" x14ac:dyDescent="0.25">
      <c r="B71" s="64" t="s">
        <v>119</v>
      </c>
      <c r="E71" s="54"/>
      <c r="F71" s="69">
        <f>+F72*12/F70</f>
        <v>26.181818181818183</v>
      </c>
      <c r="G71" s="69">
        <f t="shared" ref="G71:H71" si="32">+G72*12/G70</f>
        <v>27.239563636363638</v>
      </c>
      <c r="H71" s="69">
        <f t="shared" si="32"/>
        <v>28.340042007272729</v>
      </c>
      <c r="J71" s="72" t="s">
        <v>131</v>
      </c>
      <c r="M71" s="73">
        <v>5</v>
      </c>
      <c r="N71" s="74">
        <f t="shared" si="28"/>
        <v>5</v>
      </c>
      <c r="O71" s="74">
        <f t="shared" si="28"/>
        <v>5</v>
      </c>
      <c r="P71" s="74">
        <f t="shared" si="28"/>
        <v>5</v>
      </c>
    </row>
    <row r="72" spans="2:16" ht="16" customHeight="1" x14ac:dyDescent="0.25">
      <c r="B72" s="64" t="s">
        <v>121</v>
      </c>
      <c r="E72" s="70"/>
      <c r="F72" s="221">
        <v>2400</v>
      </c>
      <c r="G72" s="221">
        <f>+F72*(1+0.02)^2</f>
        <v>2496.96</v>
      </c>
      <c r="H72" s="221">
        <f>+G72*(1+0.02)^2</f>
        <v>2597.837184</v>
      </c>
      <c r="J72" s="64" t="s">
        <v>241</v>
      </c>
      <c r="M72" s="67">
        <v>0.1</v>
      </c>
      <c r="N72" s="68">
        <f t="shared" si="28"/>
        <v>0.1</v>
      </c>
      <c r="O72" s="68">
        <f t="shared" si="28"/>
        <v>0.1</v>
      </c>
      <c r="P72" s="68">
        <f t="shared" si="28"/>
        <v>0.1</v>
      </c>
    </row>
    <row r="73" spans="2:16" ht="16" customHeight="1" x14ac:dyDescent="0.25">
      <c r="B73" s="55" t="s">
        <v>132</v>
      </c>
      <c r="E73" s="61"/>
      <c r="F73" s="372">
        <f>+'Parcel Breakdown'!AV30</f>
        <v>14.577544685256195</v>
      </c>
      <c r="G73" s="372">
        <f>+'Parcel Breakdown'!AV31</f>
        <v>10.126322666666669</v>
      </c>
      <c r="H73" s="372">
        <f>+'Parcel Breakdown'!AV33</f>
        <v>12.18164756352134</v>
      </c>
      <c r="J73" s="72" t="s">
        <v>131</v>
      </c>
      <c r="M73" s="73">
        <v>5</v>
      </c>
      <c r="N73" s="74">
        <f t="shared" si="28"/>
        <v>5</v>
      </c>
      <c r="O73" s="74">
        <f t="shared" si="28"/>
        <v>5</v>
      </c>
      <c r="P73" s="74">
        <f t="shared" si="28"/>
        <v>5</v>
      </c>
    </row>
    <row r="74" spans="2:16" ht="16" customHeight="1" x14ac:dyDescent="0.25">
      <c r="B74" s="64" t="s">
        <v>117</v>
      </c>
      <c r="E74" s="65">
        <v>1500</v>
      </c>
      <c r="F74" s="66">
        <f>+$E74</f>
        <v>1500</v>
      </c>
      <c r="G74" s="66">
        <f t="shared" ref="G74:H74" si="33">+$E74</f>
        <v>1500</v>
      </c>
      <c r="H74" s="66">
        <f t="shared" si="33"/>
        <v>1500</v>
      </c>
      <c r="J74" s="135" t="s">
        <v>223</v>
      </c>
      <c r="M74" s="67">
        <v>0.02</v>
      </c>
      <c r="N74" s="68">
        <f t="shared" si="28"/>
        <v>0.02</v>
      </c>
      <c r="O74" s="68">
        <f t="shared" si="28"/>
        <v>0.02</v>
      </c>
      <c r="P74" s="68">
        <f t="shared" si="28"/>
        <v>0.02</v>
      </c>
    </row>
    <row r="75" spans="2:16" ht="16" customHeight="1" x14ac:dyDescent="0.25">
      <c r="B75" s="64" t="s">
        <v>119</v>
      </c>
      <c r="E75" s="54"/>
      <c r="F75" s="69">
        <f>+F76*12/F74</f>
        <v>25.6</v>
      </c>
      <c r="G75" s="69">
        <f t="shared" ref="G75:H75" si="34">+G76*12/G74</f>
        <v>26.634240000000002</v>
      </c>
      <c r="H75" s="69">
        <f t="shared" si="34"/>
        <v>27.710263296000001</v>
      </c>
      <c r="J75" s="63" t="s">
        <v>253</v>
      </c>
      <c r="M75" s="51"/>
    </row>
    <row r="76" spans="2:16" ht="16" customHeight="1" x14ac:dyDescent="0.25">
      <c r="B76" s="64" t="s">
        <v>121</v>
      </c>
      <c r="E76" s="70"/>
      <c r="F76" s="221">
        <v>3200</v>
      </c>
      <c r="G76" s="221">
        <f>+F76*(1+0.02)^2</f>
        <v>3329.2799999999997</v>
      </c>
      <c r="H76" s="221">
        <f>+G76*(1+0.02)^2</f>
        <v>3463.7829119999997</v>
      </c>
      <c r="J76" s="64" t="s">
        <v>128</v>
      </c>
      <c r="M76" s="67">
        <v>0.03</v>
      </c>
      <c r="N76" s="68">
        <f t="shared" ref="N76:P82" si="35">+$M76</f>
        <v>0.03</v>
      </c>
      <c r="O76" s="68">
        <f t="shared" si="35"/>
        <v>0.03</v>
      </c>
      <c r="P76" s="68">
        <f t="shared" si="35"/>
        <v>0.03</v>
      </c>
    </row>
    <row r="77" spans="2:16" ht="16" customHeight="1" x14ac:dyDescent="0.25">
      <c r="B77" s="55" t="s">
        <v>378</v>
      </c>
      <c r="E77" s="61"/>
      <c r="F77" s="372">
        <f>+'Parcel Breakdown'!AX30</f>
        <v>29.81770503802403</v>
      </c>
      <c r="G77" s="372">
        <f>+'Parcel Breakdown'!AX31</f>
        <v>20.712932727272729</v>
      </c>
      <c r="H77" s="372">
        <f>+'Parcel Breakdown'!AX33</f>
        <v>24.917006379930015</v>
      </c>
      <c r="J77" s="64" t="s">
        <v>129</v>
      </c>
      <c r="M77" s="67">
        <v>0.03</v>
      </c>
      <c r="N77" s="68">
        <f t="shared" si="35"/>
        <v>0.03</v>
      </c>
      <c r="O77" s="68">
        <f t="shared" si="35"/>
        <v>0.03</v>
      </c>
      <c r="P77" s="68">
        <f t="shared" si="35"/>
        <v>0.03</v>
      </c>
    </row>
    <row r="78" spans="2:16" ht="16" customHeight="1" x14ac:dyDescent="0.25">
      <c r="B78" s="64" t="s">
        <v>117</v>
      </c>
      <c r="E78" s="65">
        <v>2200</v>
      </c>
      <c r="F78" s="66">
        <f>+$E78</f>
        <v>2200</v>
      </c>
      <c r="G78" s="66">
        <f t="shared" ref="G78:H78" si="36">+$E78</f>
        <v>2200</v>
      </c>
      <c r="H78" s="66">
        <f t="shared" si="36"/>
        <v>2200</v>
      </c>
      <c r="J78" s="64" t="s">
        <v>130</v>
      </c>
      <c r="M78" s="67">
        <v>0.03</v>
      </c>
      <c r="N78" s="68">
        <f t="shared" si="35"/>
        <v>0.03</v>
      </c>
      <c r="O78" s="68">
        <f t="shared" si="35"/>
        <v>0.03</v>
      </c>
      <c r="P78" s="68">
        <f t="shared" si="35"/>
        <v>0.03</v>
      </c>
    </row>
    <row r="79" spans="2:16" ht="16" customHeight="1" x14ac:dyDescent="0.25">
      <c r="B79" s="64" t="s">
        <v>119</v>
      </c>
      <c r="E79" s="54"/>
      <c r="F79" s="69">
        <f>+F80*12/F78</f>
        <v>24.545454545454547</v>
      </c>
      <c r="G79" s="69">
        <f t="shared" ref="G79:H79" si="37">+G80*12/G78</f>
        <v>25.53709090909091</v>
      </c>
      <c r="H79" s="69">
        <f t="shared" si="37"/>
        <v>26.568789381818185</v>
      </c>
      <c r="J79" s="64" t="s">
        <v>133</v>
      </c>
      <c r="M79" s="67">
        <v>0.03</v>
      </c>
      <c r="N79" s="68">
        <f t="shared" si="35"/>
        <v>0.03</v>
      </c>
      <c r="O79" s="68">
        <f t="shared" si="35"/>
        <v>0.03</v>
      </c>
      <c r="P79" s="68">
        <f t="shared" si="35"/>
        <v>0.03</v>
      </c>
    </row>
    <row r="80" spans="2:16" ht="16" customHeight="1" x14ac:dyDescent="0.25">
      <c r="B80" s="64" t="s">
        <v>121</v>
      </c>
      <c r="E80" s="70"/>
      <c r="F80" s="221">
        <v>4500</v>
      </c>
      <c r="G80" s="221">
        <f>+F80*(1+0.02)^2</f>
        <v>4681.8</v>
      </c>
      <c r="H80" s="221">
        <f>+G80*(1+0.02)^2</f>
        <v>4870.9447200000004</v>
      </c>
      <c r="J80" s="64" t="s">
        <v>134</v>
      </c>
      <c r="M80" s="67">
        <v>0.03</v>
      </c>
      <c r="N80" s="68">
        <f t="shared" si="35"/>
        <v>0.03</v>
      </c>
      <c r="O80" s="68">
        <f t="shared" si="35"/>
        <v>0.03</v>
      </c>
      <c r="P80" s="68">
        <f t="shared" si="35"/>
        <v>0.03</v>
      </c>
    </row>
    <row r="81" spans="1:16" ht="16" customHeight="1" x14ac:dyDescent="0.25">
      <c r="B81" s="64"/>
      <c r="E81" s="70"/>
      <c r="F81" s="71"/>
      <c r="G81" s="71"/>
      <c r="H81" s="71"/>
      <c r="J81" s="64" t="s">
        <v>241</v>
      </c>
      <c r="M81" s="67">
        <v>0.03</v>
      </c>
      <c r="N81" s="68">
        <f t="shared" si="35"/>
        <v>0.03</v>
      </c>
      <c r="O81" s="68">
        <f t="shared" si="35"/>
        <v>0.03</v>
      </c>
      <c r="P81" s="68">
        <f t="shared" si="35"/>
        <v>0.03</v>
      </c>
    </row>
    <row r="82" spans="1:16" ht="16" customHeight="1" x14ac:dyDescent="0.25">
      <c r="B82" s="75" t="s">
        <v>150</v>
      </c>
      <c r="C82" s="76"/>
      <c r="D82" s="76"/>
      <c r="E82" s="77">
        <f>+SUM(F82:H82)</f>
        <v>33134013.590777561</v>
      </c>
      <c r="F82" s="78">
        <f>+F63*F62*F61+F65*F66*F67+F69*F70*F71+F73*F74*F75+F77*F78*F79</f>
        <v>12611696.522882646</v>
      </c>
      <c r="G82" s="78">
        <f t="shared" ref="G82:H82" si="38">+G63*G62*G61+G65*G66*G67+G69*G70*G71+G73*G74*G75+G77*G78*G79</f>
        <v>9114676.0041908957</v>
      </c>
      <c r="H82" s="78">
        <f t="shared" si="38"/>
        <v>11407641.063704021</v>
      </c>
      <c r="J82" s="64" t="s">
        <v>223</v>
      </c>
      <c r="M82" s="67">
        <v>0.03</v>
      </c>
      <c r="N82" s="68">
        <f t="shared" si="35"/>
        <v>0.03</v>
      </c>
      <c r="O82" s="68">
        <f t="shared" si="35"/>
        <v>0.03</v>
      </c>
      <c r="P82" s="68">
        <f t="shared" si="35"/>
        <v>0.03</v>
      </c>
    </row>
    <row r="83" spans="1:16" ht="16" customHeight="1" x14ac:dyDescent="0.25">
      <c r="B83" s="79" t="s">
        <v>135</v>
      </c>
      <c r="C83" s="80"/>
      <c r="D83" s="80"/>
      <c r="E83" s="81">
        <f>+SUM(F83:H83)</f>
        <v>1106565.4474633262</v>
      </c>
      <c r="F83" s="82">
        <f>+F61*F62+F65*F66+F69*F70+F73*F74+F77*F78</f>
        <v>437326.34055768582</v>
      </c>
      <c r="G83" s="82">
        <f t="shared" ref="G83:H83" si="39">+G61*G62+G65*G66+G69*G70+G73*G74+G77*G78</f>
        <v>303789.68000000005</v>
      </c>
      <c r="H83" s="82">
        <f t="shared" si="39"/>
        <v>365449.42690564017</v>
      </c>
      <c r="J83" s="72"/>
      <c r="M83" s="73"/>
      <c r="N83" s="74"/>
      <c r="O83" s="74"/>
      <c r="P83" s="74"/>
    </row>
    <row r="84" spans="1:16" ht="16" customHeight="1" x14ac:dyDescent="0.25">
      <c r="B84" s="64" t="s">
        <v>136</v>
      </c>
      <c r="C84" s="53"/>
      <c r="E84" s="61">
        <f>+SUM(F84:H84)</f>
        <v>1513.9827258475507</v>
      </c>
      <c r="F84" s="66">
        <f>+F61+F65+F69+F73+F77</f>
        <v>598.3419477630157</v>
      </c>
      <c r="G84" s="66">
        <f t="shared" ref="G84:H84" si="40">+G61+G65+G69+G73+G77</f>
        <v>415.63951672727279</v>
      </c>
      <c r="H84" s="66">
        <f t="shared" si="40"/>
        <v>500.00126135726225</v>
      </c>
      <c r="J84" s="63" t="s">
        <v>392</v>
      </c>
    </row>
    <row r="85" spans="1:16" ht="16" customHeight="1" x14ac:dyDescent="0.25">
      <c r="B85" s="64" t="s">
        <v>138</v>
      </c>
      <c r="C85" s="53"/>
      <c r="E85" s="83">
        <f>+IFERROR(E82/E83,"")</f>
        <v>29.943112417556026</v>
      </c>
      <c r="F85" s="69">
        <f>+IFERROR(F82/F83,"")</f>
        <v>28.83818181818182</v>
      </c>
      <c r="G85" s="69">
        <f t="shared" ref="G85:H85" si="41">+IFERROR(G82/G83,"")</f>
        <v>30.003244363636362</v>
      </c>
      <c r="H85" s="69">
        <f t="shared" si="41"/>
        <v>31.215375435927278</v>
      </c>
      <c r="J85" s="64" t="s">
        <v>394</v>
      </c>
      <c r="M85" s="67">
        <v>0.02</v>
      </c>
      <c r="N85" s="68">
        <f t="shared" ref="N85:P85" si="42">+$M85</f>
        <v>0.02</v>
      </c>
      <c r="O85" s="68">
        <f t="shared" si="42"/>
        <v>0.02</v>
      </c>
      <c r="P85" s="68">
        <f t="shared" si="42"/>
        <v>0.02</v>
      </c>
    </row>
    <row r="86" spans="1:16" ht="16" customHeight="1" x14ac:dyDescent="0.25">
      <c r="B86" s="84" t="s">
        <v>140</v>
      </c>
      <c r="C86" s="85"/>
      <c r="D86" s="85"/>
      <c r="E86" s="86">
        <f>+IFERROR(E82/E84/12,"")</f>
        <v>1823.7776112575655</v>
      </c>
      <c r="F86" s="87">
        <f>+IFERROR(F82/F84/12,"")</f>
        <v>1756.4784053156145</v>
      </c>
      <c r="G86" s="87">
        <f t="shared" ref="G86:H86" si="43">+IFERROR(G82/G84/12,"")</f>
        <v>1827.4401328903652</v>
      </c>
      <c r="H86" s="87">
        <f t="shared" si="43"/>
        <v>1901.2687142591365</v>
      </c>
      <c r="J86" s="64" t="s">
        <v>393</v>
      </c>
      <c r="M86" s="73"/>
      <c r="N86" s="74">
        <v>0</v>
      </c>
      <c r="O86" s="74">
        <f>+YEAR(G22)-YEAR($F$22)</f>
        <v>2</v>
      </c>
      <c r="P86" s="74">
        <f>+YEAR(H22)-YEAR($F$22)</f>
        <v>4</v>
      </c>
    </row>
    <row r="88" spans="1:16" ht="16" customHeight="1" x14ac:dyDescent="0.25">
      <c r="B88" s="63" t="s">
        <v>385</v>
      </c>
      <c r="J88" s="63" t="s">
        <v>239</v>
      </c>
      <c r="M88" s="51"/>
    </row>
    <row r="89" spans="1:16" ht="16" customHeight="1" x14ac:dyDescent="0.25">
      <c r="B89" s="52" t="s">
        <v>387</v>
      </c>
      <c r="E89" s="70">
        <v>5</v>
      </c>
      <c r="F89" s="71">
        <f>+$E89</f>
        <v>5</v>
      </c>
      <c r="G89" s="71">
        <f t="shared" ref="G89:H90" si="44">+$E89</f>
        <v>5</v>
      </c>
      <c r="H89" s="71">
        <f t="shared" si="44"/>
        <v>5</v>
      </c>
      <c r="J89" s="64" t="s">
        <v>137</v>
      </c>
      <c r="K89" s="54"/>
      <c r="L89" s="54"/>
      <c r="M89" s="67"/>
      <c r="N89" s="92">
        <v>0.8</v>
      </c>
      <c r="O89" s="92">
        <v>0.9</v>
      </c>
      <c r="P89" s="92">
        <v>0.9</v>
      </c>
    </row>
    <row r="90" spans="1:16" ht="16" customHeight="1" x14ac:dyDescent="0.25">
      <c r="B90" s="52" t="s">
        <v>386</v>
      </c>
      <c r="E90" s="70">
        <v>55</v>
      </c>
      <c r="F90" s="71">
        <f>+$E90</f>
        <v>55</v>
      </c>
      <c r="G90" s="71">
        <f t="shared" si="44"/>
        <v>55</v>
      </c>
      <c r="H90" s="71">
        <f t="shared" si="44"/>
        <v>55</v>
      </c>
      <c r="J90" s="64" t="s">
        <v>139</v>
      </c>
      <c r="K90" s="54"/>
      <c r="L90" s="54"/>
      <c r="M90" s="67">
        <v>1</v>
      </c>
      <c r="N90" s="68">
        <f t="shared" ref="N90:P92" si="45">+$M90</f>
        <v>1</v>
      </c>
      <c r="O90" s="68">
        <f t="shared" si="45"/>
        <v>1</v>
      </c>
      <c r="P90" s="68">
        <f t="shared" si="45"/>
        <v>1</v>
      </c>
    </row>
    <row r="91" spans="1:16" ht="16" customHeight="1" x14ac:dyDescent="0.25">
      <c r="J91" s="64" t="s">
        <v>141</v>
      </c>
      <c r="K91" s="54"/>
      <c r="L91" s="54"/>
      <c r="M91" s="67">
        <v>0.9</v>
      </c>
      <c r="N91" s="68">
        <f t="shared" si="45"/>
        <v>0.9</v>
      </c>
      <c r="O91" s="68">
        <f t="shared" si="45"/>
        <v>0.9</v>
      </c>
      <c r="P91" s="68">
        <f t="shared" si="45"/>
        <v>0.9</v>
      </c>
    </row>
    <row r="92" spans="1:16" ht="42.75" customHeight="1" thickBot="1" x14ac:dyDescent="0.3">
      <c r="B92" s="802" t="s">
        <v>151</v>
      </c>
      <c r="C92" s="802"/>
      <c r="D92" s="54"/>
      <c r="E92" s="50" t="s">
        <v>63</v>
      </c>
      <c r="F92" s="111" t="s">
        <v>634</v>
      </c>
      <c r="G92" s="111" t="s">
        <v>635</v>
      </c>
      <c r="H92" s="111" t="s">
        <v>738</v>
      </c>
      <c r="J92" s="64" t="s">
        <v>242</v>
      </c>
      <c r="K92" s="54"/>
      <c r="L92" s="54"/>
      <c r="M92" s="67">
        <v>1</v>
      </c>
      <c r="N92" s="68">
        <f t="shared" si="45"/>
        <v>1</v>
      </c>
      <c r="O92" s="68">
        <f t="shared" si="45"/>
        <v>1</v>
      </c>
      <c r="P92" s="68">
        <f t="shared" si="45"/>
        <v>1</v>
      </c>
    </row>
    <row r="93" spans="1:16" ht="16" customHeight="1" x14ac:dyDescent="0.25">
      <c r="B93" s="55" t="s">
        <v>153</v>
      </c>
      <c r="C93" s="54"/>
      <c r="D93" s="54"/>
      <c r="E93" s="61"/>
      <c r="F93" s="372">
        <f>+'Parcel Breakdown'!AP43</f>
        <v>346.80700000000007</v>
      </c>
      <c r="G93" s="372">
        <f>+'Parcel Breakdown'!AP44</f>
        <v>231.88266666666669</v>
      </c>
      <c r="H93" s="372">
        <f>+'Parcel Breakdown'!AP45</f>
        <v>37.277688888888889</v>
      </c>
    </row>
    <row r="94" spans="1:16" ht="16" customHeight="1" x14ac:dyDescent="0.25">
      <c r="A94" s="539"/>
      <c r="B94" s="64" t="s">
        <v>117</v>
      </c>
      <c r="C94" s="54"/>
      <c r="D94" s="54"/>
      <c r="E94" s="65">
        <v>450</v>
      </c>
      <c r="F94" s="66">
        <f t="shared" ref="F94:H94" si="46">+$E94</f>
        <v>450</v>
      </c>
      <c r="G94" s="66">
        <f t="shared" si="46"/>
        <v>450</v>
      </c>
      <c r="H94" s="66">
        <f t="shared" si="46"/>
        <v>450</v>
      </c>
      <c r="J94" s="63" t="s">
        <v>396</v>
      </c>
      <c r="M94" s="51"/>
    </row>
    <row r="95" spans="1:16" ht="16" customHeight="1" x14ac:dyDescent="0.25">
      <c r="A95" s="539"/>
      <c r="B95" s="64" t="s">
        <v>155</v>
      </c>
      <c r="C95" s="54"/>
      <c r="D95" s="54"/>
      <c r="E95" s="54"/>
      <c r="F95" s="69">
        <f>+F97*F96</f>
        <v>125.99999999999999</v>
      </c>
      <c r="G95" s="69">
        <f>+G97*G96</f>
        <v>94.5</v>
      </c>
      <c r="H95" s="69">
        <f>+H97*H96</f>
        <v>112</v>
      </c>
      <c r="J95" s="64" t="s">
        <v>143</v>
      </c>
      <c r="K95" s="54"/>
      <c r="L95" s="54"/>
      <c r="M95" s="70"/>
      <c r="N95" s="221">
        <v>5800</v>
      </c>
      <c r="O95" s="221">
        <f>+N95*(1+0.02)^2</f>
        <v>6034.32</v>
      </c>
      <c r="P95" s="221">
        <f>+O95*(1+0.02)^2</f>
        <v>6278.1065279999993</v>
      </c>
    </row>
    <row r="96" spans="1:16" ht="16" customHeight="1" x14ac:dyDescent="0.25">
      <c r="A96" s="539"/>
      <c r="B96" s="64" t="s">
        <v>156</v>
      </c>
      <c r="C96" s="54"/>
      <c r="D96" s="54"/>
      <c r="E96" s="67">
        <v>0.7</v>
      </c>
      <c r="F96" s="68">
        <f>+$E96</f>
        <v>0.7</v>
      </c>
      <c r="G96" s="68">
        <f t="shared" ref="G96:H96" si="47">+$E96</f>
        <v>0.7</v>
      </c>
      <c r="H96" s="68">
        <f t="shared" si="47"/>
        <v>0.7</v>
      </c>
      <c r="J96" s="64" t="s">
        <v>144</v>
      </c>
      <c r="K96" s="54"/>
      <c r="L96" s="54"/>
      <c r="M96" s="70"/>
      <c r="N96" s="221">
        <v>6000</v>
      </c>
      <c r="O96" s="221">
        <f t="shared" ref="O96:P97" si="48">+N96*(1+0.02)^2</f>
        <v>6242.4</v>
      </c>
      <c r="P96" s="221">
        <f t="shared" si="48"/>
        <v>6494.5929599999999</v>
      </c>
    </row>
    <row r="97" spans="1:16" ht="16" customHeight="1" x14ac:dyDescent="0.25">
      <c r="B97" s="64" t="s">
        <v>301</v>
      </c>
      <c r="C97" s="54"/>
      <c r="D97" s="54"/>
      <c r="E97" s="70"/>
      <c r="F97" s="221">
        <v>180</v>
      </c>
      <c r="G97" s="221">
        <v>135</v>
      </c>
      <c r="H97" s="221">
        <v>160</v>
      </c>
      <c r="J97" s="64" t="s">
        <v>224</v>
      </c>
      <c r="K97" s="54"/>
      <c r="L97" s="54"/>
      <c r="M97" s="70"/>
      <c r="N97" s="221">
        <v>500</v>
      </c>
      <c r="O97" s="221">
        <f t="shared" si="48"/>
        <v>520.20000000000005</v>
      </c>
      <c r="P97" s="221">
        <f t="shared" si="48"/>
        <v>541.21608000000003</v>
      </c>
    </row>
    <row r="98" spans="1:16" ht="16" customHeight="1" x14ac:dyDescent="0.25">
      <c r="B98" s="75" t="s">
        <v>310</v>
      </c>
      <c r="C98" s="76"/>
      <c r="D98" s="76"/>
      <c r="E98" s="77">
        <f>+SUM(F98:H98)</f>
        <v>25489225.15556667</v>
      </c>
      <c r="F98" s="78">
        <f>+F93*365.25*F95</f>
        <v>15960578.350500003</v>
      </c>
      <c r="G98" s="78">
        <f>+G93*365.25*G95</f>
        <v>8003691.1080000009</v>
      </c>
      <c r="H98" s="78">
        <f>+H93*365.25*H95</f>
        <v>1524955.6970666666</v>
      </c>
    </row>
    <row r="99" spans="1:16" ht="16" customHeight="1" x14ac:dyDescent="0.25">
      <c r="B99" s="79" t="s">
        <v>135</v>
      </c>
      <c r="C99" s="80"/>
      <c r="D99" s="80"/>
      <c r="E99" s="81">
        <f>+SUM(F99:H99)</f>
        <v>277185.31000000006</v>
      </c>
      <c r="F99" s="82">
        <f>+F93*F94</f>
        <v>156063.15000000002</v>
      </c>
      <c r="G99" s="82">
        <f t="shared" ref="G99:H99" si="49">+G93*G94</f>
        <v>104347.20000000001</v>
      </c>
      <c r="H99" s="82">
        <f t="shared" si="49"/>
        <v>16774.96</v>
      </c>
      <c r="J99" s="63" t="s">
        <v>145</v>
      </c>
      <c r="K99" s="54"/>
      <c r="L99" s="54"/>
      <c r="M99" s="67"/>
      <c r="N99" s="68"/>
      <c r="O99" s="68"/>
      <c r="P99" s="68"/>
    </row>
    <row r="100" spans="1:16" ht="16" customHeight="1" x14ac:dyDescent="0.25">
      <c r="B100" s="64" t="s">
        <v>161</v>
      </c>
      <c r="C100" s="53"/>
      <c r="E100" s="61">
        <f>+SUM(F100:H100)</f>
        <v>615.96735555555563</v>
      </c>
      <c r="F100" s="66">
        <f>+F93</f>
        <v>346.80700000000007</v>
      </c>
      <c r="G100" s="66">
        <f t="shared" ref="G100:H100" si="50">+G93</f>
        <v>231.88266666666669</v>
      </c>
      <c r="H100" s="66">
        <f t="shared" si="50"/>
        <v>37.277688888888889</v>
      </c>
      <c r="J100" s="155" t="s">
        <v>294</v>
      </c>
    </row>
    <row r="101" spans="1:16" ht="16" customHeight="1" x14ac:dyDescent="0.25">
      <c r="B101" s="84" t="s">
        <v>162</v>
      </c>
      <c r="C101" s="85"/>
      <c r="D101" s="85"/>
      <c r="E101" s="95">
        <f>+IFERROR(E98/E99,"")</f>
        <v>91.95734490968033</v>
      </c>
      <c r="F101" s="96">
        <f>+IFERROR(F98/F99,"")</f>
        <v>102.27</v>
      </c>
      <c r="G101" s="96">
        <f t="shared" ref="G101:H101" si="51">+IFERROR(G98/G99,"")</f>
        <v>76.702500000000001</v>
      </c>
      <c r="H101" s="96">
        <f t="shared" si="51"/>
        <v>90.906666666666666</v>
      </c>
      <c r="J101" s="64" t="s">
        <v>285</v>
      </c>
      <c r="K101" s="54"/>
      <c r="L101" s="54"/>
      <c r="M101" s="93">
        <v>0.25</v>
      </c>
      <c r="N101" s="134">
        <f t="shared" ref="N101:P102" si="52">+$M101</f>
        <v>0.25</v>
      </c>
      <c r="O101" s="134">
        <f t="shared" si="52"/>
        <v>0.25</v>
      </c>
      <c r="P101" s="134">
        <f t="shared" si="52"/>
        <v>0.25</v>
      </c>
    </row>
    <row r="102" spans="1:16" ht="16" customHeight="1" x14ac:dyDescent="0.25">
      <c r="B102" s="97" t="s">
        <v>163</v>
      </c>
      <c r="C102" s="53"/>
      <c r="E102" s="83"/>
      <c r="F102" s="69"/>
      <c r="G102" s="69"/>
      <c r="H102" s="69"/>
      <c r="J102" s="64" t="s">
        <v>312</v>
      </c>
      <c r="K102" s="54"/>
      <c r="L102" s="54"/>
      <c r="M102" s="93">
        <v>0.7</v>
      </c>
      <c r="N102" s="134">
        <f t="shared" si="52"/>
        <v>0.7</v>
      </c>
      <c r="O102" s="134">
        <f t="shared" si="52"/>
        <v>0.7</v>
      </c>
      <c r="P102" s="134">
        <f t="shared" si="52"/>
        <v>0.7</v>
      </c>
    </row>
    <row r="103" spans="1:16" ht="16" customHeight="1" x14ac:dyDescent="0.25">
      <c r="B103" s="64" t="s">
        <v>164</v>
      </c>
      <c r="C103" s="53"/>
      <c r="E103" s="88">
        <v>30</v>
      </c>
      <c r="F103" s="71">
        <f>+$E103</f>
        <v>30</v>
      </c>
      <c r="G103" s="71">
        <f t="shared" ref="G103:H106" si="53">+$E103</f>
        <v>30</v>
      </c>
      <c r="H103" s="71">
        <f t="shared" si="53"/>
        <v>30</v>
      </c>
      <c r="J103" s="155" t="s">
        <v>295</v>
      </c>
    </row>
    <row r="104" spans="1:16" ht="16" customHeight="1" x14ac:dyDescent="0.25">
      <c r="B104" s="64" t="s">
        <v>166</v>
      </c>
      <c r="C104" s="53"/>
      <c r="E104" s="130"/>
      <c r="F104" s="71">
        <f>+F103*365.25*F$96</f>
        <v>7670.2499999999991</v>
      </c>
      <c r="G104" s="71">
        <f t="shared" ref="G104:H104" si="54">+G103*365.25*G$96</f>
        <v>7670.2499999999991</v>
      </c>
      <c r="H104" s="71">
        <f t="shared" si="54"/>
        <v>7670.2499999999991</v>
      </c>
      <c r="J104" s="64" t="s">
        <v>287</v>
      </c>
      <c r="K104" s="54"/>
      <c r="L104" s="54"/>
      <c r="M104" s="93">
        <v>0.08</v>
      </c>
      <c r="N104" s="134">
        <f t="shared" ref="N104:P111" si="55">+$M104</f>
        <v>0.08</v>
      </c>
      <c r="O104" s="134">
        <f t="shared" si="55"/>
        <v>0.08</v>
      </c>
      <c r="P104" s="134">
        <f t="shared" si="55"/>
        <v>0.08</v>
      </c>
    </row>
    <row r="105" spans="1:16" ht="16" customHeight="1" x14ac:dyDescent="0.25">
      <c r="B105" s="97" t="s">
        <v>168</v>
      </c>
      <c r="C105" s="53"/>
      <c r="E105" s="83"/>
      <c r="F105" s="69"/>
      <c r="G105" s="69"/>
      <c r="H105" s="69"/>
      <c r="J105" s="64" t="s">
        <v>288</v>
      </c>
      <c r="K105" s="54"/>
      <c r="L105" s="54"/>
      <c r="M105" s="93">
        <v>0.01</v>
      </c>
      <c r="N105" s="134">
        <f t="shared" si="55"/>
        <v>0.01</v>
      </c>
      <c r="O105" s="134">
        <f t="shared" si="55"/>
        <v>0.01</v>
      </c>
      <c r="P105" s="134">
        <f t="shared" si="55"/>
        <v>0.01</v>
      </c>
    </row>
    <row r="106" spans="1:16" ht="16" customHeight="1" x14ac:dyDescent="0.25">
      <c r="B106" s="64" t="s">
        <v>164</v>
      </c>
      <c r="C106" s="53"/>
      <c r="E106" s="88">
        <v>10</v>
      </c>
      <c r="F106" s="71">
        <f>+$E106</f>
        <v>10</v>
      </c>
      <c r="G106" s="71">
        <f t="shared" si="53"/>
        <v>10</v>
      </c>
      <c r="H106" s="71">
        <f t="shared" si="53"/>
        <v>10</v>
      </c>
      <c r="J106" s="64" t="s">
        <v>73</v>
      </c>
      <c r="K106" s="54"/>
      <c r="L106" s="54"/>
      <c r="M106" s="93">
        <v>6.5000000000000002E-2</v>
      </c>
      <c r="N106" s="134">
        <f t="shared" si="55"/>
        <v>6.5000000000000002E-2</v>
      </c>
      <c r="O106" s="134">
        <f t="shared" si="55"/>
        <v>6.5000000000000002E-2</v>
      </c>
      <c r="P106" s="134">
        <f t="shared" si="55"/>
        <v>6.5000000000000002E-2</v>
      </c>
    </row>
    <row r="107" spans="1:16" ht="16" customHeight="1" x14ac:dyDescent="0.25">
      <c r="B107" s="64" t="s">
        <v>166</v>
      </c>
      <c r="C107" s="53"/>
      <c r="E107" s="88"/>
      <c r="F107" s="71">
        <f>+F106*365*F$96</f>
        <v>2555</v>
      </c>
      <c r="G107" s="71">
        <f t="shared" ref="G107:H107" si="56">+G106*365*G$96</f>
        <v>2555</v>
      </c>
      <c r="H107" s="71">
        <f t="shared" si="56"/>
        <v>2555</v>
      </c>
      <c r="J107" s="64" t="s">
        <v>289</v>
      </c>
      <c r="K107" s="54"/>
      <c r="L107" s="54"/>
      <c r="M107" s="93">
        <v>0.02</v>
      </c>
      <c r="N107" s="134">
        <f t="shared" si="55"/>
        <v>0.02</v>
      </c>
      <c r="O107" s="134">
        <f t="shared" si="55"/>
        <v>0.02</v>
      </c>
      <c r="P107" s="134">
        <f t="shared" si="55"/>
        <v>0.02</v>
      </c>
    </row>
    <row r="108" spans="1:16" ht="16" customHeight="1" x14ac:dyDescent="0.25">
      <c r="B108" s="75" t="s">
        <v>207</v>
      </c>
      <c r="C108" s="76"/>
      <c r="D108" s="76"/>
      <c r="E108" s="77">
        <f>+SUM(F108:H108)</f>
        <v>6298420.2023944454</v>
      </c>
      <c r="F108" s="78">
        <f>+F93*(F104+F107)</f>
        <v>3546188.2767500007</v>
      </c>
      <c r="G108" s="78">
        <f t="shared" ref="G108:H108" si="57">+G93*(G104+G107)</f>
        <v>2371058.2373333336</v>
      </c>
      <c r="H108" s="78">
        <f t="shared" si="57"/>
        <v>381173.68831111112</v>
      </c>
      <c r="J108" s="64" t="s">
        <v>290</v>
      </c>
      <c r="K108" s="54"/>
      <c r="L108" s="54"/>
      <c r="M108" s="93">
        <v>0.03</v>
      </c>
      <c r="N108" s="134">
        <f t="shared" si="55"/>
        <v>0.03</v>
      </c>
      <c r="O108" s="134">
        <f t="shared" si="55"/>
        <v>0.03</v>
      </c>
      <c r="P108" s="134">
        <f t="shared" si="55"/>
        <v>0.03</v>
      </c>
    </row>
    <row r="109" spans="1:16" ht="16" customHeight="1" x14ac:dyDescent="0.25">
      <c r="B109" s="51" t="s">
        <v>183</v>
      </c>
      <c r="J109" s="64" t="s">
        <v>291</v>
      </c>
      <c r="K109" s="54"/>
      <c r="L109" s="54"/>
      <c r="M109" s="93">
        <v>0.04</v>
      </c>
      <c r="N109" s="134">
        <f t="shared" si="55"/>
        <v>0.04</v>
      </c>
      <c r="O109" s="134">
        <f t="shared" si="55"/>
        <v>0.04</v>
      </c>
      <c r="P109" s="134">
        <f t="shared" si="55"/>
        <v>0.04</v>
      </c>
    </row>
    <row r="110" spans="1:16" ht="16" customHeight="1" x14ac:dyDescent="0.25">
      <c r="B110" s="64" t="s">
        <v>171</v>
      </c>
      <c r="F110" s="62">
        <v>0</v>
      </c>
      <c r="G110" s="62">
        <v>35000</v>
      </c>
      <c r="H110" s="62">
        <v>0</v>
      </c>
      <c r="J110" s="64" t="s">
        <v>59</v>
      </c>
      <c r="K110" s="54"/>
      <c r="L110" s="54"/>
      <c r="M110" s="93">
        <v>0.01</v>
      </c>
      <c r="N110" s="134">
        <f t="shared" si="55"/>
        <v>0.01</v>
      </c>
      <c r="O110" s="134">
        <f t="shared" si="55"/>
        <v>0.01</v>
      </c>
      <c r="P110" s="134">
        <f t="shared" si="55"/>
        <v>0.01</v>
      </c>
    </row>
    <row r="111" spans="1:16" ht="16" customHeight="1" x14ac:dyDescent="0.25">
      <c r="B111" s="64" t="s">
        <v>377</v>
      </c>
      <c r="F111" s="62">
        <v>90</v>
      </c>
      <c r="G111" s="62">
        <v>90</v>
      </c>
      <c r="H111" s="62">
        <v>90</v>
      </c>
      <c r="J111" s="64" t="s">
        <v>292</v>
      </c>
      <c r="K111" s="54"/>
      <c r="L111" s="54"/>
      <c r="M111" s="93">
        <v>3.5000000000000003E-2</v>
      </c>
      <c r="N111" s="134">
        <f t="shared" si="55"/>
        <v>3.5000000000000003E-2</v>
      </c>
      <c r="O111" s="134">
        <f t="shared" si="55"/>
        <v>3.5000000000000003E-2</v>
      </c>
      <c r="P111" s="134">
        <f t="shared" si="55"/>
        <v>3.5000000000000003E-2</v>
      </c>
    </row>
    <row r="112" spans="1:16" ht="16" customHeight="1" x14ac:dyDescent="0.25">
      <c r="A112" s="539"/>
      <c r="B112" s="64" t="s">
        <v>210</v>
      </c>
      <c r="F112" s="66">
        <f>+F110/20</f>
        <v>0</v>
      </c>
      <c r="G112" s="66">
        <f>+G110/20</f>
        <v>1750</v>
      </c>
      <c r="H112" s="66">
        <f t="shared" ref="H112" si="58">+H110/50</f>
        <v>0</v>
      </c>
      <c r="J112" s="156" t="s">
        <v>296</v>
      </c>
    </row>
    <row r="113" spans="1:16" ht="16" customHeight="1" x14ac:dyDescent="0.25">
      <c r="B113" s="64" t="s">
        <v>211</v>
      </c>
      <c r="F113" s="102">
        <v>10</v>
      </c>
      <c r="G113" s="102">
        <v>10</v>
      </c>
      <c r="H113" s="102">
        <v>10</v>
      </c>
      <c r="J113" s="64" t="s">
        <v>293</v>
      </c>
      <c r="K113" s="54"/>
      <c r="L113" s="54"/>
      <c r="M113" s="93">
        <v>0.03</v>
      </c>
      <c r="N113" s="134">
        <f>+$M113</f>
        <v>0.03</v>
      </c>
      <c r="O113" s="134">
        <f>+$M113</f>
        <v>0.03</v>
      </c>
      <c r="P113" s="134">
        <f>+$M113</f>
        <v>0.03</v>
      </c>
    </row>
    <row r="114" spans="1:16" ht="16" customHeight="1" x14ac:dyDescent="0.25">
      <c r="B114" s="64" t="s">
        <v>209</v>
      </c>
      <c r="F114" s="71" t="str">
        <f>+IFERROR(F113*F112*F111/F110,"")</f>
        <v/>
      </c>
      <c r="G114" s="71">
        <f t="shared" ref="G114" si="59">+IFERROR(G113*G112*G111/G110,"")</f>
        <v>45</v>
      </c>
      <c r="H114" s="71" t="str">
        <f t="shared" ref="H114" si="60">+IFERROR(H113*H112*H111/H110,"")</f>
        <v/>
      </c>
      <c r="J114" s="156" t="s">
        <v>297</v>
      </c>
    </row>
    <row r="115" spans="1:16" ht="16" customHeight="1" x14ac:dyDescent="0.25">
      <c r="B115" s="75" t="s">
        <v>208</v>
      </c>
      <c r="C115" s="76"/>
      <c r="D115" s="76"/>
      <c r="E115" s="77">
        <f>+SUM(F115:H115)</f>
        <v>1575000</v>
      </c>
      <c r="F115" s="78">
        <f>+IFERROR(F114*F110,0)</f>
        <v>0</v>
      </c>
      <c r="G115" s="78">
        <f t="shared" ref="G115:H115" si="61">+IFERROR(G114*G110,0)</f>
        <v>1575000</v>
      </c>
      <c r="H115" s="78">
        <f t="shared" si="61"/>
        <v>0</v>
      </c>
      <c r="J115" s="64" t="s">
        <v>9</v>
      </c>
      <c r="K115" s="54"/>
      <c r="L115" s="54"/>
      <c r="M115" s="93">
        <v>0.4</v>
      </c>
      <c r="N115" s="134">
        <f>+$M115</f>
        <v>0.4</v>
      </c>
      <c r="O115" s="134">
        <f>+$M115</f>
        <v>0.4</v>
      </c>
      <c r="P115" s="134">
        <f>+$M115</f>
        <v>0.4</v>
      </c>
    </row>
    <row r="116" spans="1:16" ht="16" customHeight="1" x14ac:dyDescent="0.25">
      <c r="B116" s="51" t="s">
        <v>298</v>
      </c>
      <c r="D116" s="52"/>
      <c r="E116" s="52"/>
    </row>
    <row r="117" spans="1:16" ht="16" customHeight="1" x14ac:dyDescent="0.25">
      <c r="B117" s="64" t="s">
        <v>299</v>
      </c>
      <c r="E117" s="67">
        <v>0.65</v>
      </c>
      <c r="F117" s="68">
        <f>+$E117</f>
        <v>0.65</v>
      </c>
      <c r="G117" s="68">
        <f t="shared" ref="G117:H117" si="62">+$E117</f>
        <v>0.65</v>
      </c>
      <c r="H117" s="68">
        <f t="shared" si="62"/>
        <v>0.65</v>
      </c>
    </row>
    <row r="118" spans="1:16" ht="16" customHeight="1" x14ac:dyDescent="0.25">
      <c r="B118" s="64" t="s">
        <v>300</v>
      </c>
      <c r="E118" s="70"/>
      <c r="F118" s="221">
        <f>+F97-10</f>
        <v>170</v>
      </c>
      <c r="G118" s="221">
        <f>+G97-10</f>
        <v>125</v>
      </c>
      <c r="H118" s="221">
        <f>+H97-10</f>
        <v>150</v>
      </c>
      <c r="J118" s="63" t="s">
        <v>614</v>
      </c>
    </row>
    <row r="119" spans="1:16" ht="16" customHeight="1" x14ac:dyDescent="0.25">
      <c r="B119" s="64" t="s">
        <v>302</v>
      </c>
      <c r="E119" s="67">
        <v>0.7</v>
      </c>
      <c r="F119" s="68">
        <f>+$E119</f>
        <v>0.7</v>
      </c>
      <c r="G119" s="68">
        <f t="shared" ref="G119:H119" si="63">+$E119</f>
        <v>0.7</v>
      </c>
      <c r="H119" s="68">
        <f t="shared" si="63"/>
        <v>0.7</v>
      </c>
      <c r="J119" s="64" t="s">
        <v>143</v>
      </c>
      <c r="M119" s="88"/>
      <c r="N119" s="69">
        <f t="shared" ref="N119:P120" si="64">+N95*$E$56/$E$55</f>
        <v>7.9354545454545447</v>
      </c>
      <c r="O119" s="69">
        <f t="shared" si="64"/>
        <v>8.256046909090907</v>
      </c>
      <c r="P119" s="69">
        <f t="shared" si="64"/>
        <v>8.5895912042181806</v>
      </c>
    </row>
    <row r="120" spans="1:16" ht="16" customHeight="1" x14ac:dyDescent="0.25">
      <c r="B120" s="64" t="s">
        <v>303</v>
      </c>
      <c r="E120" s="70"/>
      <c r="F120" s="221">
        <f>+F97-5</f>
        <v>175</v>
      </c>
      <c r="G120" s="221">
        <f>+G97-5</f>
        <v>130</v>
      </c>
      <c r="H120" s="221">
        <f>+H97-5</f>
        <v>155</v>
      </c>
      <c r="J120" s="64" t="s">
        <v>144</v>
      </c>
      <c r="M120" s="88"/>
      <c r="N120" s="69">
        <f t="shared" si="64"/>
        <v>8.209090909090909</v>
      </c>
      <c r="O120" s="69">
        <f t="shared" si="64"/>
        <v>8.5407381818181811</v>
      </c>
      <c r="P120" s="69">
        <f t="shared" si="64"/>
        <v>8.8857840043636358</v>
      </c>
    </row>
    <row r="121" spans="1:16" ht="16" customHeight="1" x14ac:dyDescent="0.25">
      <c r="J121" s="64" t="s">
        <v>25</v>
      </c>
      <c r="M121" s="88"/>
      <c r="N121" s="101">
        <v>7</v>
      </c>
      <c r="O121" s="101">
        <f t="shared" ref="O121:P121" si="65">+N121*(1+0.02)^2</f>
        <v>7.2827999999999999</v>
      </c>
      <c r="P121" s="101">
        <f t="shared" si="65"/>
        <v>7.5770251200000001</v>
      </c>
    </row>
    <row r="122" spans="1:16" ht="16" customHeight="1" x14ac:dyDescent="0.25">
      <c r="J122" s="64" t="s">
        <v>147</v>
      </c>
      <c r="M122" s="88"/>
      <c r="N122" s="101">
        <v>7</v>
      </c>
      <c r="O122" s="101">
        <f t="shared" ref="O122:P122" si="66">+N122*(1+0.02)^2</f>
        <v>7.2827999999999999</v>
      </c>
      <c r="P122" s="101">
        <f t="shared" si="66"/>
        <v>7.5770251200000001</v>
      </c>
    </row>
    <row r="123" spans="1:16" ht="16" customHeight="1" thickBot="1" x14ac:dyDescent="0.3">
      <c r="B123" s="802" t="s">
        <v>169</v>
      </c>
      <c r="C123" s="802"/>
      <c r="D123" s="54"/>
      <c r="E123" s="50" t="s">
        <v>63</v>
      </c>
      <c r="F123" s="50" t="str">
        <f>+F$21</f>
        <v>I</v>
      </c>
      <c r="G123" s="50" t="str">
        <f>+G$21</f>
        <v>II</v>
      </c>
      <c r="H123" s="50" t="str">
        <f>+H$21</f>
        <v>III</v>
      </c>
      <c r="J123" s="64" t="s">
        <v>148</v>
      </c>
      <c r="M123" s="88"/>
      <c r="N123" s="101">
        <v>7.5</v>
      </c>
      <c r="O123" s="101">
        <f t="shared" ref="O123:P123" si="67">+N123*(1+0.02)^2</f>
        <v>7.8029999999999999</v>
      </c>
      <c r="P123" s="101">
        <f t="shared" si="67"/>
        <v>8.1182411999999999</v>
      </c>
    </row>
    <row r="124" spans="1:16" ht="16" customHeight="1" x14ac:dyDescent="0.25">
      <c r="B124" s="55" t="s">
        <v>479</v>
      </c>
      <c r="C124" s="54"/>
      <c r="D124" s="54"/>
      <c r="E124" s="61"/>
      <c r="F124" s="62"/>
      <c r="G124" s="62"/>
      <c r="H124" s="62"/>
      <c r="J124" s="64" t="s">
        <v>238</v>
      </c>
      <c r="M124" s="88"/>
      <c r="N124" s="101">
        <v>2</v>
      </c>
      <c r="O124" s="101">
        <f t="shared" ref="O124:P124" si="68">+N124*(1+0.02)^2</f>
        <v>2.0808</v>
      </c>
      <c r="P124" s="101">
        <f t="shared" si="68"/>
        <v>2.16486432</v>
      </c>
    </row>
    <row r="125" spans="1:16" ht="16" customHeight="1" x14ac:dyDescent="0.25">
      <c r="B125" s="64" t="s">
        <v>171</v>
      </c>
      <c r="C125" s="54"/>
      <c r="D125" s="54"/>
      <c r="E125" s="65"/>
      <c r="F125" s="372">
        <f>+'Parcel Breakdown'!AR24-F133</f>
        <v>168300</v>
      </c>
      <c r="G125" s="372">
        <f>+'Parcel Breakdown'!AR25</f>
        <v>138600</v>
      </c>
      <c r="H125" s="372">
        <f>+'Parcel Breakdown'!AR26</f>
        <v>70497</v>
      </c>
    </row>
    <row r="126" spans="1:16" ht="16" customHeight="1" thickBot="1" x14ac:dyDescent="0.3">
      <c r="A126" s="539"/>
      <c r="B126" s="64" t="s">
        <v>119</v>
      </c>
      <c r="C126" s="54"/>
      <c r="D126" s="54"/>
      <c r="E126" s="54"/>
      <c r="F126" s="101">
        <v>23</v>
      </c>
      <c r="G126" s="101">
        <f>+F126*(1+0.02)^2</f>
        <v>23.929200000000002</v>
      </c>
      <c r="H126" s="101">
        <f>+F126*(1+0.02)^4</f>
        <v>24.895939679999998</v>
      </c>
      <c r="J126" s="802" t="s">
        <v>55</v>
      </c>
      <c r="K126" s="802"/>
      <c r="L126" s="54"/>
      <c r="M126" s="50" t="s">
        <v>63</v>
      </c>
      <c r="N126" s="50" t="str">
        <f>+F$21</f>
        <v>I</v>
      </c>
      <c r="O126" s="50" t="str">
        <f>+G$21</f>
        <v>II</v>
      </c>
      <c r="P126" s="50" t="str">
        <f>+H$21</f>
        <v>III</v>
      </c>
    </row>
    <row r="127" spans="1:16" ht="16" customHeight="1" x14ac:dyDescent="0.25">
      <c r="A127" s="539"/>
      <c r="B127" s="64" t="s">
        <v>172</v>
      </c>
      <c r="C127" s="54"/>
      <c r="D127" s="54"/>
      <c r="E127" s="70"/>
      <c r="F127" s="71">
        <f>+F126*F125</f>
        <v>3870900</v>
      </c>
      <c r="G127" s="71">
        <f t="shared" ref="G127:H127" si="69">+G126*G125</f>
        <v>3316587.12</v>
      </c>
      <c r="H127" s="71">
        <f t="shared" si="69"/>
        <v>1755089.0596209599</v>
      </c>
      <c r="J127" s="63" t="s">
        <v>149</v>
      </c>
    </row>
    <row r="128" spans="1:16" ht="16" customHeight="1" x14ac:dyDescent="0.25">
      <c r="B128" s="55" t="s">
        <v>19</v>
      </c>
      <c r="C128" s="54"/>
      <c r="D128" s="54"/>
      <c r="E128" s="61"/>
      <c r="F128" s="62"/>
      <c r="G128" s="62"/>
      <c r="H128" s="62"/>
      <c r="J128" s="64" t="s">
        <v>143</v>
      </c>
      <c r="K128" s="54"/>
      <c r="L128" s="54"/>
      <c r="M128" s="89">
        <v>5.7500000000000002E-2</v>
      </c>
      <c r="N128" s="90">
        <f t="shared" ref="N128:P136" si="70">+$M128</f>
        <v>5.7500000000000002E-2</v>
      </c>
      <c r="O128" s="90">
        <f t="shared" si="70"/>
        <v>5.7500000000000002E-2</v>
      </c>
      <c r="P128" s="90">
        <f t="shared" si="70"/>
        <v>5.7500000000000002E-2</v>
      </c>
    </row>
    <row r="129" spans="2:18" ht="16" customHeight="1" x14ac:dyDescent="0.25">
      <c r="B129" s="64" t="s">
        <v>171</v>
      </c>
      <c r="C129" s="54"/>
      <c r="D129" s="54"/>
      <c r="E129" s="65"/>
      <c r="F129" s="62">
        <v>0</v>
      </c>
      <c r="G129" s="62">
        <v>0</v>
      </c>
      <c r="H129" s="62">
        <v>0</v>
      </c>
      <c r="J129" s="64" t="s">
        <v>144</v>
      </c>
      <c r="K129" s="54"/>
      <c r="L129" s="54"/>
      <c r="M129" s="89">
        <v>5.5E-2</v>
      </c>
      <c r="N129" s="90">
        <f t="shared" si="70"/>
        <v>5.5E-2</v>
      </c>
      <c r="O129" s="90">
        <f t="shared" si="70"/>
        <v>5.5E-2</v>
      </c>
      <c r="P129" s="90">
        <f t="shared" si="70"/>
        <v>5.5E-2</v>
      </c>
    </row>
    <row r="130" spans="2:18" ht="16" customHeight="1" x14ac:dyDescent="0.25">
      <c r="B130" s="64" t="s">
        <v>119</v>
      </c>
      <c r="C130" s="54"/>
      <c r="D130" s="54"/>
      <c r="E130" s="54"/>
      <c r="F130" s="101">
        <v>0</v>
      </c>
      <c r="G130" s="101">
        <v>0</v>
      </c>
      <c r="H130" s="101">
        <v>0</v>
      </c>
      <c r="J130" s="64" t="s">
        <v>25</v>
      </c>
      <c r="K130" s="54"/>
      <c r="L130" s="54"/>
      <c r="M130" s="89">
        <v>6.5000000000000002E-2</v>
      </c>
      <c r="N130" s="90">
        <f t="shared" si="70"/>
        <v>6.5000000000000002E-2</v>
      </c>
      <c r="O130" s="90">
        <f t="shared" si="70"/>
        <v>6.5000000000000002E-2</v>
      </c>
      <c r="P130" s="90">
        <f t="shared" si="70"/>
        <v>6.5000000000000002E-2</v>
      </c>
    </row>
    <row r="131" spans="2:18" ht="16" customHeight="1" x14ac:dyDescent="0.25">
      <c r="B131" s="64" t="s">
        <v>172</v>
      </c>
      <c r="C131" s="54"/>
      <c r="D131" s="54"/>
      <c r="E131" s="70"/>
      <c r="F131" s="71">
        <f>+F130*F129</f>
        <v>0</v>
      </c>
      <c r="G131" s="71">
        <f t="shared" ref="G131:H131" si="71">+G130*G129</f>
        <v>0</v>
      </c>
      <c r="H131" s="71">
        <f t="shared" si="71"/>
        <v>0</v>
      </c>
      <c r="J131" s="64" t="s">
        <v>26</v>
      </c>
      <c r="K131" s="54"/>
      <c r="L131" s="54"/>
      <c r="M131" s="89">
        <v>0.08</v>
      </c>
      <c r="N131" s="90">
        <f t="shared" si="70"/>
        <v>0.08</v>
      </c>
      <c r="O131" s="90">
        <f t="shared" si="70"/>
        <v>0.08</v>
      </c>
      <c r="P131" s="90">
        <f t="shared" si="70"/>
        <v>0.08</v>
      </c>
    </row>
    <row r="132" spans="2:18" ht="16" customHeight="1" x14ac:dyDescent="0.25">
      <c r="B132" s="55" t="s">
        <v>334</v>
      </c>
      <c r="E132" s="61"/>
      <c r="F132" s="62"/>
      <c r="G132" s="62"/>
      <c r="H132" s="62"/>
      <c r="J132" s="64" t="s">
        <v>147</v>
      </c>
      <c r="K132" s="54"/>
      <c r="L132" s="54"/>
      <c r="M132" s="89">
        <v>6.7500000000000004E-2</v>
      </c>
      <c r="N132" s="90">
        <f t="shared" si="70"/>
        <v>6.7500000000000004E-2</v>
      </c>
      <c r="O132" s="90">
        <f t="shared" si="70"/>
        <v>6.7500000000000004E-2</v>
      </c>
      <c r="P132" s="90">
        <f t="shared" si="70"/>
        <v>6.7500000000000004E-2</v>
      </c>
    </row>
    <row r="133" spans="2:18" ht="16" customHeight="1" x14ac:dyDescent="0.25">
      <c r="B133" s="64" t="s">
        <v>171</v>
      </c>
      <c r="E133" s="65"/>
      <c r="F133" s="372">
        <f>+'Parcel Breakdown'!AR8</f>
        <v>45900</v>
      </c>
      <c r="G133" s="62">
        <v>0</v>
      </c>
      <c r="H133" s="62">
        <v>0</v>
      </c>
      <c r="J133" s="64" t="s">
        <v>148</v>
      </c>
      <c r="K133" s="54"/>
      <c r="L133" s="54"/>
      <c r="M133" s="89">
        <v>6.5000000000000002E-2</v>
      </c>
      <c r="N133" s="90">
        <f t="shared" si="70"/>
        <v>6.5000000000000002E-2</v>
      </c>
      <c r="O133" s="90">
        <f t="shared" si="70"/>
        <v>6.5000000000000002E-2</v>
      </c>
      <c r="P133" s="90">
        <f t="shared" si="70"/>
        <v>6.5000000000000002E-2</v>
      </c>
    </row>
    <row r="134" spans="2:18" ht="16" customHeight="1" x14ac:dyDescent="0.25">
      <c r="B134" s="64" t="s">
        <v>119</v>
      </c>
      <c r="E134" s="54"/>
      <c r="F134" s="101">
        <v>28</v>
      </c>
      <c r="G134" s="101">
        <v>28</v>
      </c>
      <c r="H134" s="101">
        <v>28</v>
      </c>
      <c r="J134" s="64" t="s">
        <v>238</v>
      </c>
      <c r="M134" s="89">
        <v>5.5E-2</v>
      </c>
      <c r="N134" s="90">
        <f t="shared" si="70"/>
        <v>5.5E-2</v>
      </c>
      <c r="O134" s="90">
        <f t="shared" si="70"/>
        <v>5.5E-2</v>
      </c>
      <c r="P134" s="90">
        <f t="shared" si="70"/>
        <v>5.5E-2</v>
      </c>
    </row>
    <row r="135" spans="2:18" ht="16" customHeight="1" x14ac:dyDescent="0.25">
      <c r="B135" s="64" t="s">
        <v>172</v>
      </c>
      <c r="E135" s="70"/>
      <c r="F135" s="71">
        <f>+F134*F133</f>
        <v>1285200</v>
      </c>
      <c r="G135" s="71">
        <f t="shared" ref="G135:H135" si="72">+G134*G133</f>
        <v>0</v>
      </c>
      <c r="H135" s="71">
        <f t="shared" si="72"/>
        <v>0</v>
      </c>
      <c r="J135" s="64" t="s">
        <v>224</v>
      </c>
      <c r="M135" s="89">
        <v>6.5000000000000002E-2</v>
      </c>
      <c r="N135" s="90">
        <f t="shared" si="70"/>
        <v>6.5000000000000002E-2</v>
      </c>
      <c r="O135" s="90">
        <f t="shared" si="70"/>
        <v>6.5000000000000002E-2</v>
      </c>
      <c r="P135" s="90">
        <f t="shared" si="70"/>
        <v>6.5000000000000002E-2</v>
      </c>
    </row>
    <row r="136" spans="2:18" ht="16" customHeight="1" x14ac:dyDescent="0.25">
      <c r="B136" s="75" t="s">
        <v>178</v>
      </c>
      <c r="C136" s="76"/>
      <c r="D136" s="76"/>
      <c r="E136" s="77">
        <f>+SUM(F136:H136)</f>
        <v>10227776.179620961</v>
      </c>
      <c r="F136" s="78">
        <f>+F127+F131+F135</f>
        <v>5156100</v>
      </c>
      <c r="G136" s="78">
        <f t="shared" ref="G136:H136" si="73">+G127+G131+G135</f>
        <v>3316587.12</v>
      </c>
      <c r="H136" s="78">
        <f t="shared" si="73"/>
        <v>1755089.0596209599</v>
      </c>
      <c r="J136" s="52" t="s">
        <v>152</v>
      </c>
      <c r="M136" s="67">
        <v>0.02</v>
      </c>
      <c r="N136" s="68">
        <f t="shared" si="70"/>
        <v>0.02</v>
      </c>
      <c r="O136" s="68">
        <f t="shared" si="70"/>
        <v>0.02</v>
      </c>
      <c r="P136" s="68">
        <f t="shared" si="70"/>
        <v>0.02</v>
      </c>
    </row>
    <row r="137" spans="2:18" ht="16" customHeight="1" x14ac:dyDescent="0.25">
      <c r="B137" s="79" t="s">
        <v>135</v>
      </c>
      <c r="C137" s="80"/>
      <c r="D137" s="80"/>
      <c r="E137" s="81">
        <f>+SUM(F137:H137)</f>
        <v>423297</v>
      </c>
      <c r="F137" s="82">
        <f>+F125+F129+F133</f>
        <v>214200</v>
      </c>
      <c r="G137" s="82">
        <f t="shared" ref="G137:H137" si="74">+G125+G129+G133</f>
        <v>138600</v>
      </c>
      <c r="H137" s="82">
        <f t="shared" si="74"/>
        <v>70497</v>
      </c>
    </row>
    <row r="138" spans="2:18" ht="16" customHeight="1" thickBot="1" x14ac:dyDescent="0.3">
      <c r="B138" s="84" t="s">
        <v>138</v>
      </c>
      <c r="C138" s="85"/>
      <c r="D138" s="85"/>
      <c r="E138" s="95">
        <f>+IFERROR(E136/E137,"")</f>
        <v>24.162174973177134</v>
      </c>
      <c r="F138" s="96">
        <f>+IFERROR(F136/F137,"")</f>
        <v>24.071428571428573</v>
      </c>
      <c r="G138" s="96">
        <f t="shared" ref="G138:H138" si="75">+IFERROR(G136/G137,"")</f>
        <v>23.929200000000002</v>
      </c>
      <c r="H138" s="96">
        <f t="shared" si="75"/>
        <v>24.895939679999998</v>
      </c>
      <c r="J138" s="802" t="s">
        <v>154</v>
      </c>
      <c r="K138" s="802"/>
      <c r="L138" s="54"/>
      <c r="M138" s="50" t="s">
        <v>63</v>
      </c>
      <c r="N138" s="50" t="str">
        <f>+F$21</f>
        <v>I</v>
      </c>
      <c r="O138" s="50" t="str">
        <f>+G$21</f>
        <v>II</v>
      </c>
      <c r="P138" s="50" t="str">
        <f>+H$21</f>
        <v>III</v>
      </c>
    </row>
    <row r="139" spans="2:18" ht="16" customHeight="1" x14ac:dyDescent="0.25">
      <c r="J139" s="52" t="s">
        <v>234</v>
      </c>
      <c r="N139" s="91">
        <v>2.8500000000000001E-2</v>
      </c>
      <c r="O139" s="91">
        <v>0.03</v>
      </c>
      <c r="P139" s="91">
        <v>0.03</v>
      </c>
      <c r="R139" s="539"/>
    </row>
    <row r="140" spans="2:18" ht="16" customHeight="1" thickBot="1" x14ac:dyDescent="0.3">
      <c r="B140" s="802" t="s">
        <v>179</v>
      </c>
      <c r="C140" s="802"/>
      <c r="D140" s="54"/>
      <c r="E140" s="50" t="s">
        <v>63</v>
      </c>
      <c r="F140" s="50" t="str">
        <f>+F$21</f>
        <v>I</v>
      </c>
      <c r="G140" s="50" t="str">
        <f>+G$21</f>
        <v>II</v>
      </c>
      <c r="H140" s="50" t="str">
        <f>+H$21</f>
        <v>III</v>
      </c>
    </row>
    <row r="141" spans="2:18" ht="16" customHeight="1" x14ac:dyDescent="0.25">
      <c r="B141" s="55" t="s">
        <v>480</v>
      </c>
      <c r="C141" s="54"/>
      <c r="D141" s="54"/>
      <c r="E141" s="61"/>
      <c r="F141" s="62"/>
      <c r="G141" s="62"/>
      <c r="H141" s="62"/>
    </row>
    <row r="142" spans="2:18" ht="16" customHeight="1" x14ac:dyDescent="0.25">
      <c r="B142" s="64" t="s">
        <v>171</v>
      </c>
      <c r="C142" s="54"/>
      <c r="D142" s="54"/>
      <c r="E142" s="65"/>
      <c r="F142" s="372">
        <f>+'Parcel Breakdown'!AT24-Assumptions!F150</f>
        <v>60000</v>
      </c>
      <c r="G142" s="62">
        <v>1E-4</v>
      </c>
      <c r="H142" s="62">
        <v>0</v>
      </c>
      <c r="J142" s="63" t="s">
        <v>367</v>
      </c>
    </row>
    <row r="143" spans="2:18" ht="16" customHeight="1" x14ac:dyDescent="0.25">
      <c r="B143" s="64" t="s">
        <v>119</v>
      </c>
      <c r="C143" s="54"/>
      <c r="D143" s="54"/>
      <c r="E143" s="54"/>
      <c r="F143" s="101">
        <v>0</v>
      </c>
      <c r="G143" s="101">
        <v>0</v>
      </c>
      <c r="H143" s="101">
        <v>0</v>
      </c>
      <c r="J143" s="64" t="s">
        <v>157</v>
      </c>
      <c r="K143" s="54"/>
      <c r="L143" s="54"/>
      <c r="M143" s="67"/>
      <c r="N143" s="92">
        <v>0.6</v>
      </c>
      <c r="O143" s="92">
        <v>0.6</v>
      </c>
      <c r="P143" s="92">
        <v>0.6</v>
      </c>
      <c r="R143" s="223"/>
    </row>
    <row r="144" spans="2:18" ht="16" customHeight="1" x14ac:dyDescent="0.25">
      <c r="B144" s="64" t="s">
        <v>172</v>
      </c>
      <c r="C144" s="54"/>
      <c r="D144" s="54"/>
      <c r="E144" s="70"/>
      <c r="F144" s="71">
        <f>+F143*F142</f>
        <v>0</v>
      </c>
      <c r="G144" s="71">
        <f t="shared" ref="G144:H144" si="76">+G143*G142</f>
        <v>0</v>
      </c>
      <c r="H144" s="71">
        <f t="shared" si="76"/>
        <v>0</v>
      </c>
      <c r="J144" s="64" t="s">
        <v>158</v>
      </c>
      <c r="K144" s="54"/>
      <c r="L144" s="54"/>
      <c r="M144" s="93"/>
      <c r="N144" s="94">
        <v>375</v>
      </c>
      <c r="O144" s="94">
        <v>375</v>
      </c>
      <c r="P144" s="94">
        <v>375</v>
      </c>
    </row>
    <row r="145" spans="1:18" ht="16" customHeight="1" x14ac:dyDescent="0.25">
      <c r="B145" s="55" t="s">
        <v>380</v>
      </c>
      <c r="C145" s="54"/>
      <c r="D145" s="54"/>
      <c r="E145" s="61"/>
      <c r="F145" s="62"/>
      <c r="G145" s="62"/>
      <c r="H145" s="62"/>
      <c r="J145" s="64" t="s">
        <v>189</v>
      </c>
      <c r="N145" s="90">
        <f>+N139+(N144/10000)</f>
        <v>6.6000000000000003E-2</v>
      </c>
      <c r="O145" s="90">
        <f>+O139+(O144/10000)</f>
        <v>6.7500000000000004E-2</v>
      </c>
      <c r="P145" s="90">
        <f>+P139+(P144/10000)</f>
        <v>6.7500000000000004E-2</v>
      </c>
    </row>
    <row r="146" spans="1:18" ht="16" customHeight="1" x14ac:dyDescent="0.25">
      <c r="B146" s="64" t="s">
        <v>171</v>
      </c>
      <c r="C146" s="54"/>
      <c r="D146" s="54"/>
      <c r="E146" s="65"/>
      <c r="F146" s="62">
        <v>0</v>
      </c>
      <c r="G146" s="62">
        <v>0</v>
      </c>
      <c r="H146" s="372">
        <f>+'Parcel Breakdown'!$AT$26</f>
        <v>78210</v>
      </c>
      <c r="J146" s="64" t="s">
        <v>159</v>
      </c>
      <c r="K146" s="54"/>
      <c r="L146" s="54"/>
      <c r="M146" s="67"/>
      <c r="N146" s="91">
        <v>0.01</v>
      </c>
      <c r="O146" s="91">
        <v>0.01</v>
      </c>
      <c r="P146" s="91">
        <v>0.01</v>
      </c>
    </row>
    <row r="147" spans="1:18" ht="16" customHeight="1" x14ac:dyDescent="0.25">
      <c r="B147" s="64" t="s">
        <v>119</v>
      </c>
      <c r="C147" s="54"/>
      <c r="D147" s="54"/>
      <c r="E147" s="54"/>
      <c r="F147" s="101">
        <v>10</v>
      </c>
      <c r="G147" s="101">
        <v>10</v>
      </c>
      <c r="H147" s="101">
        <v>10</v>
      </c>
      <c r="J147" s="64" t="s">
        <v>743</v>
      </c>
      <c r="M147" s="539"/>
      <c r="N147" s="92">
        <v>0.65</v>
      </c>
      <c r="O147" s="92">
        <v>0.65</v>
      </c>
      <c r="P147" s="92">
        <v>0.65</v>
      </c>
    </row>
    <row r="148" spans="1:18" ht="16" customHeight="1" x14ac:dyDescent="0.25">
      <c r="B148" s="64" t="s">
        <v>172</v>
      </c>
      <c r="C148" s="54"/>
      <c r="D148" s="54"/>
      <c r="E148" s="70"/>
      <c r="F148" s="71">
        <f>+F147*F146</f>
        <v>0</v>
      </c>
      <c r="G148" s="71">
        <f t="shared" ref="G148:H148" si="77">+G147*G146</f>
        <v>0</v>
      </c>
      <c r="H148" s="71">
        <f t="shared" si="77"/>
        <v>782100</v>
      </c>
      <c r="J148" s="63" t="s">
        <v>160</v>
      </c>
      <c r="K148" s="54"/>
      <c r="L148" s="54"/>
      <c r="M148" s="67"/>
      <c r="N148" s="68"/>
      <c r="O148" s="68"/>
      <c r="P148" s="68"/>
    </row>
    <row r="149" spans="1:18" ht="16" customHeight="1" x14ac:dyDescent="0.25">
      <c r="B149" s="55" t="s">
        <v>481</v>
      </c>
      <c r="E149" s="61"/>
      <c r="F149" s="62"/>
      <c r="G149" s="62"/>
      <c r="H149" s="62"/>
      <c r="J149" s="64" t="s">
        <v>185</v>
      </c>
      <c r="N149" s="92">
        <v>0.65</v>
      </c>
      <c r="O149" s="92">
        <v>0.65</v>
      </c>
      <c r="P149" s="92">
        <v>0.65</v>
      </c>
    </row>
    <row r="150" spans="1:18" ht="16" customHeight="1" x14ac:dyDescent="0.25">
      <c r="B150" s="64" t="s">
        <v>171</v>
      </c>
      <c r="E150" s="65"/>
      <c r="F150" s="372">
        <f>+'Parcel Breakdown'!AT8</f>
        <v>19125</v>
      </c>
      <c r="G150" s="62">
        <v>0</v>
      </c>
      <c r="H150" s="62">
        <v>0</v>
      </c>
      <c r="J150" s="64" t="s">
        <v>184</v>
      </c>
      <c r="N150" s="98">
        <v>1.25</v>
      </c>
      <c r="O150" s="98">
        <v>1.25</v>
      </c>
      <c r="P150" s="98">
        <v>1.25</v>
      </c>
    </row>
    <row r="151" spans="1:18" ht="16" customHeight="1" x14ac:dyDescent="0.25">
      <c r="A151" s="539"/>
      <c r="B151" s="64" t="s">
        <v>119</v>
      </c>
      <c r="E151" s="54"/>
      <c r="F151" s="101">
        <v>10</v>
      </c>
      <c r="G151" s="101">
        <v>10</v>
      </c>
      <c r="H151" s="101">
        <v>10</v>
      </c>
      <c r="J151" s="64" t="s">
        <v>158</v>
      </c>
      <c r="K151" s="54"/>
      <c r="L151" s="54"/>
      <c r="M151" s="93"/>
      <c r="N151" s="99">
        <v>6.5000000000000002E-2</v>
      </c>
      <c r="O151" s="99">
        <v>6.5000000000000002E-2</v>
      </c>
      <c r="P151" s="99">
        <v>6.5000000000000002E-2</v>
      </c>
    </row>
    <row r="152" spans="1:18" ht="16" customHeight="1" x14ac:dyDescent="0.25">
      <c r="B152" s="64" t="s">
        <v>172</v>
      </c>
      <c r="E152" s="70"/>
      <c r="F152" s="71">
        <f>+F151*F150</f>
        <v>191250</v>
      </c>
      <c r="G152" s="71">
        <f t="shared" ref="G152:H152" si="78">+G151*G150</f>
        <v>0</v>
      </c>
      <c r="H152" s="71">
        <f t="shared" si="78"/>
        <v>0</v>
      </c>
      <c r="J152" s="64" t="s">
        <v>159</v>
      </c>
      <c r="K152" s="54"/>
      <c r="L152" s="54"/>
      <c r="M152" s="67"/>
      <c r="N152" s="99">
        <v>7.4999999999999997E-3</v>
      </c>
      <c r="O152" s="99">
        <v>7.4999999999999997E-3</v>
      </c>
      <c r="P152" s="99">
        <v>7.4999999999999997E-3</v>
      </c>
    </row>
    <row r="153" spans="1:18" ht="16" customHeight="1" x14ac:dyDescent="0.25">
      <c r="B153" s="75" t="s">
        <v>180</v>
      </c>
      <c r="C153" s="76"/>
      <c r="D153" s="76"/>
      <c r="E153" s="77">
        <f>+SUM(F153:H153)</f>
        <v>973350</v>
      </c>
      <c r="F153" s="78">
        <f>+F144+F148+F152</f>
        <v>191250</v>
      </c>
      <c r="G153" s="78">
        <f t="shared" ref="G153:H153" si="79">+G144+G148+G152</f>
        <v>0</v>
      </c>
      <c r="H153" s="78">
        <f t="shared" si="79"/>
        <v>782100</v>
      </c>
      <c r="J153" s="64" t="s">
        <v>165</v>
      </c>
      <c r="K153" s="54"/>
      <c r="L153" s="54"/>
      <c r="M153" s="67"/>
      <c r="N153" s="100">
        <v>30</v>
      </c>
      <c r="O153" s="100">
        <v>30</v>
      </c>
      <c r="P153" s="100">
        <v>30</v>
      </c>
    </row>
    <row r="154" spans="1:18" ht="16" customHeight="1" x14ac:dyDescent="0.25">
      <c r="B154" s="79" t="s">
        <v>135</v>
      </c>
      <c r="C154" s="80"/>
      <c r="D154" s="80"/>
      <c r="E154" s="81">
        <f>+SUM(F154:H154)</f>
        <v>157335.0001</v>
      </c>
      <c r="F154" s="82">
        <f>+F142+F146+F150</f>
        <v>79125</v>
      </c>
      <c r="G154" s="82">
        <f t="shared" ref="G154:H154" si="80">+G142+G146+G150</f>
        <v>1E-4</v>
      </c>
      <c r="H154" s="82">
        <f t="shared" si="80"/>
        <v>78210</v>
      </c>
      <c r="J154" s="63" t="s">
        <v>167</v>
      </c>
      <c r="K154" s="54"/>
      <c r="L154" s="54"/>
      <c r="M154" s="67"/>
      <c r="N154" s="134"/>
      <c r="O154" s="134"/>
      <c r="P154" s="134"/>
    </row>
    <row r="155" spans="1:18" ht="16" customHeight="1" x14ac:dyDescent="0.25">
      <c r="B155" s="84" t="s">
        <v>138</v>
      </c>
      <c r="C155" s="85"/>
      <c r="D155" s="85"/>
      <c r="E155" s="95">
        <f>+IFERROR(E153/E154,"")</f>
        <v>6.1864810714802925</v>
      </c>
      <c r="F155" s="96">
        <f>+IFERROR(F153/F154,"")</f>
        <v>2.4170616113744074</v>
      </c>
      <c r="G155" s="96">
        <f t="shared" ref="G155:H155" si="81">+IFERROR(G153/G154,"")</f>
        <v>0</v>
      </c>
      <c r="H155" s="96">
        <f t="shared" si="81"/>
        <v>10</v>
      </c>
      <c r="J155" s="64" t="s">
        <v>185</v>
      </c>
      <c r="K155" s="54"/>
      <c r="L155" s="54"/>
      <c r="M155" s="67"/>
      <c r="N155" s="92">
        <v>0.8</v>
      </c>
      <c r="O155" s="92">
        <v>0.8</v>
      </c>
      <c r="P155" s="92">
        <v>0.8</v>
      </c>
    </row>
    <row r="156" spans="1:18" ht="16" customHeight="1" x14ac:dyDescent="0.25">
      <c r="J156" s="64" t="s">
        <v>184</v>
      </c>
      <c r="N156" s="98">
        <v>1.3</v>
      </c>
      <c r="O156" s="98">
        <v>1.3</v>
      </c>
      <c r="P156" s="98">
        <v>1.3</v>
      </c>
    </row>
    <row r="157" spans="1:18" ht="16" customHeight="1" x14ac:dyDescent="0.25">
      <c r="J157" s="64" t="s">
        <v>158</v>
      </c>
      <c r="K157" s="54"/>
      <c r="L157" s="54"/>
      <c r="M157" s="93"/>
      <c r="N157" s="99">
        <v>0.06</v>
      </c>
      <c r="O157" s="99">
        <v>0.06</v>
      </c>
      <c r="P157" s="99">
        <v>0.06</v>
      </c>
    </row>
    <row r="158" spans="1:18" ht="16" customHeight="1" thickBot="1" x14ac:dyDescent="0.3">
      <c r="B158" s="802" t="s">
        <v>181</v>
      </c>
      <c r="C158" s="802"/>
      <c r="D158" s="54"/>
      <c r="E158" s="50" t="s">
        <v>63</v>
      </c>
      <c r="F158" s="50" t="str">
        <f>+F$21</f>
        <v>I</v>
      </c>
      <c r="G158" s="50" t="str">
        <f>+G$21</f>
        <v>II</v>
      </c>
      <c r="H158" s="50" t="str">
        <f>+H$21</f>
        <v>III</v>
      </c>
      <c r="J158" s="64" t="s">
        <v>159</v>
      </c>
      <c r="K158" s="54"/>
      <c r="L158" s="54"/>
      <c r="M158" s="67"/>
      <c r="N158" s="99">
        <v>0.01</v>
      </c>
      <c r="O158" s="99">
        <v>0.01</v>
      </c>
      <c r="P158" s="99">
        <v>0.01</v>
      </c>
    </row>
    <row r="159" spans="1:18" ht="16" customHeight="1" x14ac:dyDescent="0.25">
      <c r="B159" s="55" t="s">
        <v>482</v>
      </c>
      <c r="C159" s="54"/>
      <c r="D159" s="54"/>
      <c r="E159" s="61"/>
      <c r="F159" s="62"/>
      <c r="G159" s="62"/>
      <c r="H159" s="62"/>
      <c r="J159" s="64" t="s">
        <v>165</v>
      </c>
      <c r="K159" s="54"/>
      <c r="L159" s="54"/>
      <c r="M159" s="67"/>
      <c r="N159" s="100" t="s">
        <v>170</v>
      </c>
      <c r="O159" s="100" t="s">
        <v>170</v>
      </c>
      <c r="P159" s="100" t="s">
        <v>170</v>
      </c>
    </row>
    <row r="160" spans="1:18" ht="16" customHeight="1" x14ac:dyDescent="0.25">
      <c r="B160" s="64" t="s">
        <v>171</v>
      </c>
      <c r="C160" s="54"/>
      <c r="D160" s="54"/>
      <c r="E160" s="65"/>
      <c r="F160" s="372">
        <f>+'Parcel Breakdown'!$AU$24</f>
        <v>410068.80000000005</v>
      </c>
      <c r="G160" s="372">
        <f>+'Parcel Breakdown'!$AU$25</f>
        <v>134937</v>
      </c>
      <c r="H160" s="372">
        <f>+'Parcel Breakdown'!$AU$26</f>
        <v>588969.09999999986</v>
      </c>
      <c r="J160" s="63" t="s">
        <v>264</v>
      </c>
      <c r="K160" s="54"/>
      <c r="L160" s="54"/>
      <c r="M160" s="67"/>
      <c r="N160" s="68"/>
      <c r="O160" s="68"/>
      <c r="P160" s="68"/>
      <c r="R160" s="224"/>
    </row>
    <row r="161" spans="2:18" ht="16" customHeight="1" x14ac:dyDescent="0.25">
      <c r="B161" s="64" t="s">
        <v>119</v>
      </c>
      <c r="C161" s="54"/>
      <c r="D161" s="54"/>
      <c r="E161" s="54"/>
      <c r="F161" s="101">
        <v>24</v>
      </c>
      <c r="G161" s="101">
        <f>+F161*(1+0.02)^2</f>
        <v>24.9696</v>
      </c>
      <c r="H161" s="101">
        <f>+F161*(1+0.02)^4</f>
        <v>25.978371840000001</v>
      </c>
      <c r="J161" s="64" t="s">
        <v>185</v>
      </c>
      <c r="K161" s="54"/>
      <c r="L161" s="54"/>
      <c r="M161" s="67"/>
      <c r="N161" s="92">
        <v>0.75</v>
      </c>
      <c r="O161" s="92">
        <v>0.75</v>
      </c>
      <c r="P161" s="92">
        <v>0.75</v>
      </c>
      <c r="R161" s="223"/>
    </row>
    <row r="162" spans="2:18" ht="16" customHeight="1" x14ac:dyDescent="0.25">
      <c r="B162" s="64" t="s">
        <v>172</v>
      </c>
      <c r="C162" s="54"/>
      <c r="D162" s="54"/>
      <c r="E162" s="70"/>
      <c r="F162" s="71">
        <f>+F161*F160</f>
        <v>9841651.2000000011</v>
      </c>
      <c r="G162" s="71">
        <f t="shared" ref="G162:H162" si="82">+G161*G160</f>
        <v>3369322.9152000002</v>
      </c>
      <c r="H162" s="71">
        <f t="shared" si="82"/>
        <v>15300458.282070141</v>
      </c>
      <c r="J162" s="64" t="s">
        <v>184</v>
      </c>
      <c r="N162" s="98">
        <v>1.3</v>
      </c>
      <c r="O162" s="98">
        <v>1.3</v>
      </c>
      <c r="P162" s="98">
        <v>1.3</v>
      </c>
    </row>
    <row r="163" spans="2:18" ht="16" customHeight="1" x14ac:dyDescent="0.25">
      <c r="B163" s="55" t="s">
        <v>19</v>
      </c>
      <c r="C163" s="54"/>
      <c r="D163" s="54"/>
      <c r="E163" s="61"/>
      <c r="F163" s="62"/>
      <c r="G163" s="62"/>
      <c r="H163" s="62"/>
      <c r="J163" s="64" t="s">
        <v>158</v>
      </c>
      <c r="K163" s="54"/>
      <c r="L163" s="54"/>
      <c r="M163" s="93"/>
      <c r="N163" s="99">
        <v>5.5E-2</v>
      </c>
      <c r="O163" s="99">
        <v>5.5E-2</v>
      </c>
      <c r="P163" s="99">
        <v>5.5E-2</v>
      </c>
    </row>
    <row r="164" spans="2:18" ht="16" customHeight="1" x14ac:dyDescent="0.25">
      <c r="B164" s="64" t="s">
        <v>171</v>
      </c>
      <c r="C164" s="54"/>
      <c r="D164" s="54"/>
      <c r="E164" s="65"/>
      <c r="F164" s="62">
        <v>0</v>
      </c>
      <c r="G164" s="62">
        <v>0</v>
      </c>
      <c r="H164" s="62">
        <v>0</v>
      </c>
      <c r="J164" s="64" t="s">
        <v>159</v>
      </c>
      <c r="K164" s="54"/>
      <c r="L164" s="54"/>
      <c r="M164" s="67"/>
      <c r="N164" s="99">
        <v>7.4999999999999997E-3</v>
      </c>
      <c r="O164" s="99">
        <v>7.4999999999999997E-3</v>
      </c>
      <c r="P164" s="99">
        <v>7.4999999999999997E-3</v>
      </c>
    </row>
    <row r="165" spans="2:18" ht="16" customHeight="1" x14ac:dyDescent="0.25">
      <c r="B165" s="64" t="s">
        <v>119</v>
      </c>
      <c r="C165" s="54"/>
      <c r="D165" s="54"/>
      <c r="E165" s="54"/>
      <c r="F165" s="101">
        <v>25</v>
      </c>
      <c r="G165" s="101">
        <v>25</v>
      </c>
      <c r="H165" s="101">
        <v>25</v>
      </c>
      <c r="J165" s="64" t="s">
        <v>165</v>
      </c>
      <c r="K165" s="54"/>
      <c r="L165" s="54"/>
      <c r="M165" s="67"/>
      <c r="N165" s="100" t="s">
        <v>170</v>
      </c>
      <c r="O165" s="100" t="s">
        <v>170</v>
      </c>
      <c r="P165" s="100" t="s">
        <v>170</v>
      </c>
    </row>
    <row r="166" spans="2:18" ht="16" customHeight="1" x14ac:dyDescent="0.25">
      <c r="B166" s="64" t="s">
        <v>172</v>
      </c>
      <c r="C166" s="54"/>
      <c r="D166" s="54"/>
      <c r="E166" s="70"/>
      <c r="F166" s="71">
        <f>+F165*F164</f>
        <v>0</v>
      </c>
      <c r="G166" s="71">
        <f t="shared" ref="G166:H166" si="83">+G165*G164</f>
        <v>0</v>
      </c>
      <c r="H166" s="71">
        <f t="shared" si="83"/>
        <v>0</v>
      </c>
      <c r="J166" s="63" t="s">
        <v>98</v>
      </c>
    </row>
    <row r="167" spans="2:18" ht="16" customHeight="1" x14ac:dyDescent="0.25">
      <c r="B167" s="55" t="s">
        <v>19</v>
      </c>
      <c r="E167" s="61"/>
      <c r="F167" s="62"/>
      <c r="G167" s="62"/>
      <c r="H167" s="62"/>
      <c r="J167" s="64" t="s">
        <v>184</v>
      </c>
      <c r="N167" s="98">
        <v>1.25</v>
      </c>
      <c r="O167" s="204">
        <f t="shared" ref="O167:P171" si="84">+N167</f>
        <v>1.25</v>
      </c>
      <c r="P167" s="204">
        <f t="shared" si="84"/>
        <v>1.25</v>
      </c>
    </row>
    <row r="168" spans="2:18" ht="16" customHeight="1" x14ac:dyDescent="0.25">
      <c r="B168" s="64" t="s">
        <v>171</v>
      </c>
      <c r="E168" s="65"/>
      <c r="F168" s="62">
        <v>0</v>
      </c>
      <c r="G168" s="62">
        <v>0</v>
      </c>
      <c r="H168" s="62">
        <v>0</v>
      </c>
      <c r="J168" s="64" t="s">
        <v>158</v>
      </c>
      <c r="K168" s="54"/>
      <c r="L168" s="54"/>
      <c r="M168" s="93"/>
      <c r="N168" s="99">
        <v>0.06</v>
      </c>
      <c r="O168" s="90">
        <f t="shared" si="84"/>
        <v>0.06</v>
      </c>
      <c r="P168" s="90">
        <f t="shared" si="84"/>
        <v>0.06</v>
      </c>
    </row>
    <row r="169" spans="2:18" ht="16" customHeight="1" x14ac:dyDescent="0.25">
      <c r="B169" s="64" t="s">
        <v>119</v>
      </c>
      <c r="E169" s="54"/>
      <c r="F169" s="101">
        <v>10</v>
      </c>
      <c r="G169" s="101">
        <v>10</v>
      </c>
      <c r="H169" s="101">
        <v>10</v>
      </c>
      <c r="J169" s="64" t="s">
        <v>165</v>
      </c>
      <c r="N169" s="100">
        <v>30</v>
      </c>
      <c r="O169" s="74">
        <f t="shared" si="84"/>
        <v>30</v>
      </c>
      <c r="P169" s="74">
        <f t="shared" si="84"/>
        <v>30</v>
      </c>
    </row>
    <row r="170" spans="2:18" ht="16" customHeight="1" x14ac:dyDescent="0.25">
      <c r="B170" s="64" t="s">
        <v>172</v>
      </c>
      <c r="E170" s="70"/>
      <c r="F170" s="71">
        <f>+F169*F168</f>
        <v>0</v>
      </c>
      <c r="G170" s="71">
        <f t="shared" ref="G170:H170" si="85">+G169*G168</f>
        <v>0</v>
      </c>
      <c r="H170" s="71">
        <f t="shared" si="85"/>
        <v>0</v>
      </c>
      <c r="J170" s="64" t="s">
        <v>159</v>
      </c>
      <c r="K170" s="54"/>
      <c r="L170" s="54"/>
      <c r="M170" s="67"/>
      <c r="N170" s="91">
        <v>0.01</v>
      </c>
      <c r="O170" s="134">
        <f t="shared" si="84"/>
        <v>0.01</v>
      </c>
      <c r="P170" s="134">
        <f t="shared" si="84"/>
        <v>0.01</v>
      </c>
    </row>
    <row r="171" spans="2:18" ht="16" customHeight="1" x14ac:dyDescent="0.25">
      <c r="B171" s="75" t="s">
        <v>182</v>
      </c>
      <c r="C171" s="76"/>
      <c r="D171" s="76"/>
      <c r="E171" s="77">
        <f>+SUM(F171:H171)</f>
        <v>28511432.397270143</v>
      </c>
      <c r="F171" s="78">
        <f>+F162+F166+F170</f>
        <v>9841651.2000000011</v>
      </c>
      <c r="G171" s="78">
        <f t="shared" ref="G171:H171" si="86">+G162+G166+G170</f>
        <v>3369322.9152000002</v>
      </c>
      <c r="H171" s="78">
        <f t="shared" si="86"/>
        <v>15300458.282070141</v>
      </c>
      <c r="J171" s="64" t="s">
        <v>188</v>
      </c>
      <c r="N171" s="92">
        <v>0.5</v>
      </c>
      <c r="O171" s="68">
        <f t="shared" si="84"/>
        <v>0.5</v>
      </c>
      <c r="P171" s="68">
        <f t="shared" si="84"/>
        <v>0.5</v>
      </c>
    </row>
    <row r="172" spans="2:18" ht="16" customHeight="1" x14ac:dyDescent="0.25">
      <c r="B172" s="79" t="s">
        <v>135</v>
      </c>
      <c r="C172" s="80"/>
      <c r="D172" s="80"/>
      <c r="E172" s="81">
        <f>+SUM(F172:H172)</f>
        <v>1133974.8999999999</v>
      </c>
      <c r="F172" s="82">
        <f>+F160+F164+F168</f>
        <v>410068.80000000005</v>
      </c>
      <c r="G172" s="82">
        <f t="shared" ref="G172:H172" si="87">+G160+G164+G168</f>
        <v>134937</v>
      </c>
      <c r="H172" s="82">
        <f t="shared" si="87"/>
        <v>588969.09999999986</v>
      </c>
      <c r="J172" s="63" t="s">
        <v>332</v>
      </c>
    </row>
    <row r="173" spans="2:18" ht="16" customHeight="1" x14ac:dyDescent="0.25">
      <c r="B173" s="84" t="s">
        <v>138</v>
      </c>
      <c r="C173" s="85"/>
      <c r="D173" s="85"/>
      <c r="E173" s="95">
        <f>+IFERROR(E171/E172,"")</f>
        <v>25.142913125564018</v>
      </c>
      <c r="F173" s="96">
        <f>+IFERROR(F171/F172,"")</f>
        <v>24</v>
      </c>
      <c r="G173" s="96">
        <f t="shared" ref="G173:H173" si="88">+IFERROR(G171/G172,"")</f>
        <v>24.9696</v>
      </c>
      <c r="H173" s="96">
        <f t="shared" si="88"/>
        <v>25.978371840000001</v>
      </c>
      <c r="J173" s="64" t="s">
        <v>34</v>
      </c>
      <c r="N173" s="102">
        <v>0</v>
      </c>
      <c r="O173" s="102">
        <v>0</v>
      </c>
      <c r="P173" s="102">
        <v>0</v>
      </c>
    </row>
    <row r="174" spans="2:18" ht="16" customHeight="1" x14ac:dyDescent="0.25">
      <c r="J174" s="51" t="s">
        <v>622</v>
      </c>
    </row>
    <row r="175" spans="2:18" ht="16" customHeight="1" thickBot="1" x14ac:dyDescent="0.3">
      <c r="B175" s="802" t="s">
        <v>212</v>
      </c>
      <c r="C175" s="802"/>
      <c r="D175" s="54"/>
      <c r="E175" s="50" t="s">
        <v>63</v>
      </c>
      <c r="F175" s="50" t="str">
        <f>+F$21</f>
        <v>I</v>
      </c>
      <c r="G175" s="50" t="str">
        <f>+G$21</f>
        <v>II</v>
      </c>
      <c r="H175" s="50" t="str">
        <f>+H$21</f>
        <v>III</v>
      </c>
      <c r="J175" s="64" t="s">
        <v>173</v>
      </c>
      <c r="N175" s="102">
        <v>100000</v>
      </c>
      <c r="O175" s="102">
        <v>100000</v>
      </c>
      <c r="P175" s="102">
        <v>100000</v>
      </c>
    </row>
    <row r="176" spans="2:18" ht="16" customHeight="1" x14ac:dyDescent="0.25">
      <c r="B176" s="55" t="s">
        <v>215</v>
      </c>
      <c r="C176" s="54"/>
      <c r="D176" s="54"/>
      <c r="E176" s="61"/>
      <c r="F176" s="62"/>
      <c r="G176" s="62"/>
      <c r="H176" s="62"/>
      <c r="J176" s="64" t="s">
        <v>174</v>
      </c>
      <c r="N176" s="103">
        <f>+N175*F56</f>
        <v>14958548.694075393</v>
      </c>
      <c r="O176" s="103">
        <f>+O175*G56</f>
        <v>10390987.91818182</v>
      </c>
      <c r="P176" s="103">
        <f>+P175*H56</f>
        <v>12500031.533931557</v>
      </c>
    </row>
    <row r="177" spans="1:18" ht="16" customHeight="1" x14ac:dyDescent="0.25">
      <c r="B177" s="64" t="s">
        <v>219</v>
      </c>
      <c r="C177" s="54"/>
      <c r="D177" s="54"/>
      <c r="E177" s="61"/>
      <c r="F177" s="372">
        <f>+'Parcel Breakdown'!AP50</f>
        <v>251.5151515151515</v>
      </c>
      <c r="G177" s="372">
        <f>+'Parcel Breakdown'!AP51</f>
        <v>321.21212121212119</v>
      </c>
      <c r="H177" s="372">
        <f>+'Parcel Breakdown'!AP52</f>
        <v>145.45454545454547</v>
      </c>
      <c r="J177" s="64" t="s">
        <v>369</v>
      </c>
      <c r="N177" s="104">
        <v>0.85</v>
      </c>
      <c r="O177" s="104">
        <v>0.85</v>
      </c>
      <c r="P177" s="104">
        <v>0.85</v>
      </c>
    </row>
    <row r="178" spans="1:18" ht="16" customHeight="1" x14ac:dyDescent="0.25">
      <c r="B178" s="64" t="s">
        <v>220</v>
      </c>
      <c r="C178" s="54"/>
      <c r="D178" s="54"/>
      <c r="E178" s="61"/>
      <c r="F178" s="62">
        <v>330</v>
      </c>
      <c r="G178" s="66">
        <f>+F178</f>
        <v>330</v>
      </c>
      <c r="H178" s="66">
        <f>+G178</f>
        <v>330</v>
      </c>
      <c r="J178" s="51" t="s">
        <v>621</v>
      </c>
    </row>
    <row r="179" spans="1:18" ht="16" customHeight="1" x14ac:dyDescent="0.25">
      <c r="B179" s="64" t="s">
        <v>171</v>
      </c>
      <c r="C179" s="54"/>
      <c r="D179" s="54"/>
      <c r="E179" s="65"/>
      <c r="F179" s="66">
        <f>+F177*F178</f>
        <v>83000</v>
      </c>
      <c r="G179" s="66">
        <f t="shared" ref="G179:H179" si="89">+G177*G178</f>
        <v>105999.99999999999</v>
      </c>
      <c r="H179" s="66">
        <f t="shared" si="89"/>
        <v>48000.000000000007</v>
      </c>
      <c r="J179" s="135" t="s">
        <v>627</v>
      </c>
      <c r="N179" s="91">
        <v>0.2</v>
      </c>
      <c r="O179" s="91">
        <v>0.2</v>
      </c>
      <c r="P179" s="91">
        <v>0.2</v>
      </c>
    </row>
    <row r="180" spans="1:18" ht="16" customHeight="1" x14ac:dyDescent="0.25">
      <c r="B180" s="64"/>
      <c r="C180" s="54"/>
      <c r="D180" s="54"/>
      <c r="E180" s="65"/>
      <c r="F180" s="101"/>
      <c r="G180" s="101"/>
      <c r="H180" s="101"/>
      <c r="J180" s="64" t="s">
        <v>630</v>
      </c>
      <c r="N180" s="103">
        <f ca="1">+Acquisition!$E$56*'Parcel Breakdown'!$W$20*(1+Budget!$D$44)*(1+Budget!$D$79)</f>
        <v>19154886.867513154</v>
      </c>
      <c r="O180" s="103">
        <v>0</v>
      </c>
      <c r="P180" s="103">
        <v>0</v>
      </c>
    </row>
    <row r="181" spans="1:18" ht="16" customHeight="1" x14ac:dyDescent="0.25">
      <c r="A181" s="539"/>
      <c r="B181" s="64" t="s">
        <v>221</v>
      </c>
      <c r="C181" s="54"/>
      <c r="D181" s="54"/>
      <c r="E181" s="54"/>
      <c r="F181" s="101">
        <v>135</v>
      </c>
      <c r="G181" s="101">
        <f>+F181*(1+0.02)^2</f>
        <v>140.45400000000001</v>
      </c>
      <c r="H181" s="101">
        <f>+F181*(1+0.02)^4</f>
        <v>146.1283416</v>
      </c>
      <c r="J181" s="64" t="s">
        <v>177</v>
      </c>
      <c r="N181" s="103">
        <f ca="1">+N180*N179</f>
        <v>3830977.3735026307</v>
      </c>
      <c r="O181" s="103">
        <f>+O180*O179</f>
        <v>0</v>
      </c>
      <c r="P181" s="103">
        <f>+P180*P179</f>
        <v>0</v>
      </c>
    </row>
    <row r="182" spans="1:18" ht="16" customHeight="1" x14ac:dyDescent="0.25">
      <c r="A182" s="539"/>
      <c r="B182" s="64" t="s">
        <v>172</v>
      </c>
      <c r="C182" s="54"/>
      <c r="D182" s="54"/>
      <c r="E182" s="70"/>
      <c r="F182" s="71">
        <f>+F181*F177*12</f>
        <v>407454.54545454547</v>
      </c>
      <c r="G182" s="71">
        <f>+G181*G177*12</f>
        <v>541386.32727272727</v>
      </c>
      <c r="H182" s="71">
        <f>+H181*H177*12</f>
        <v>255060.37806545454</v>
      </c>
      <c r="J182" s="64" t="s">
        <v>369</v>
      </c>
      <c r="N182" s="104">
        <v>0.85</v>
      </c>
      <c r="O182" s="104">
        <v>0.85</v>
      </c>
      <c r="P182" s="104">
        <v>0.85</v>
      </c>
      <c r="R182" s="539"/>
    </row>
    <row r="183" spans="1:18" ht="16" customHeight="1" x14ac:dyDescent="0.25">
      <c r="B183" s="55" t="s">
        <v>216</v>
      </c>
      <c r="C183" s="54"/>
      <c r="D183" s="54"/>
      <c r="E183" s="61"/>
      <c r="F183" s="62"/>
      <c r="G183" s="62"/>
      <c r="H183" s="62"/>
      <c r="J183" s="51" t="s">
        <v>623</v>
      </c>
    </row>
    <row r="184" spans="1:18" ht="16" customHeight="1" x14ac:dyDescent="0.25">
      <c r="B184" s="64" t="s">
        <v>219</v>
      </c>
      <c r="C184" s="54"/>
      <c r="D184" s="54"/>
      <c r="E184" s="61"/>
      <c r="F184" s="62">
        <v>0</v>
      </c>
      <c r="G184" s="62">
        <v>0</v>
      </c>
      <c r="H184" s="62">
        <v>0</v>
      </c>
      <c r="J184" s="64" t="s">
        <v>176</v>
      </c>
      <c r="N184" s="102">
        <v>15000000</v>
      </c>
      <c r="O184" s="102">
        <v>1E-4</v>
      </c>
      <c r="P184" s="102">
        <v>15000000</v>
      </c>
    </row>
    <row r="185" spans="1:18" ht="16" customHeight="1" x14ac:dyDescent="0.25">
      <c r="B185" s="64" t="s">
        <v>220</v>
      </c>
      <c r="C185" s="54"/>
      <c r="D185" s="54"/>
      <c r="E185" s="61"/>
      <c r="F185" s="66">
        <f>+F$178</f>
        <v>330</v>
      </c>
      <c r="G185" s="66">
        <f t="shared" ref="G185:H185" si="90">+G$178</f>
        <v>330</v>
      </c>
      <c r="H185" s="66">
        <f t="shared" si="90"/>
        <v>330</v>
      </c>
      <c r="J185" s="64" t="s">
        <v>177</v>
      </c>
      <c r="N185" s="103">
        <f>+N184*0.39</f>
        <v>5850000</v>
      </c>
      <c r="O185" s="103">
        <f>+O184*0.39</f>
        <v>3.9000000000000006E-5</v>
      </c>
      <c r="P185" s="103">
        <f>+P184*0.39</f>
        <v>5850000</v>
      </c>
    </row>
    <row r="186" spans="1:18" ht="16" customHeight="1" x14ac:dyDescent="0.25">
      <c r="B186" s="64" t="s">
        <v>171</v>
      </c>
      <c r="C186" s="54"/>
      <c r="D186" s="54"/>
      <c r="E186" s="65"/>
      <c r="F186" s="66">
        <f>+F184*F185</f>
        <v>0</v>
      </c>
      <c r="G186" s="66">
        <f t="shared" ref="G186" si="91">+G184*G185</f>
        <v>0</v>
      </c>
      <c r="H186" s="66">
        <f t="shared" ref="H186" si="92">+H184*H185</f>
        <v>0</v>
      </c>
      <c r="J186" s="64" t="s">
        <v>175</v>
      </c>
      <c r="N186" s="104">
        <v>0.9</v>
      </c>
      <c r="O186" s="104">
        <v>0.9</v>
      </c>
      <c r="P186" s="104">
        <v>0.9</v>
      </c>
    </row>
    <row r="187" spans="1:18" ht="16" customHeight="1" x14ac:dyDescent="0.25">
      <c r="B187" s="64"/>
      <c r="C187" s="54"/>
      <c r="D187" s="54"/>
      <c r="E187" s="65"/>
      <c r="F187" s="92"/>
      <c r="G187" s="92"/>
      <c r="H187" s="92"/>
      <c r="J187" s="51" t="s">
        <v>624</v>
      </c>
    </row>
    <row r="188" spans="1:18" ht="16" customHeight="1" x14ac:dyDescent="0.25">
      <c r="B188" s="64" t="s">
        <v>221</v>
      </c>
      <c r="C188" s="54"/>
      <c r="D188" s="54"/>
      <c r="E188" s="54"/>
      <c r="F188" s="101">
        <v>0</v>
      </c>
      <c r="G188" s="101">
        <v>0</v>
      </c>
      <c r="H188" s="101">
        <v>0</v>
      </c>
      <c r="J188" s="64" t="s">
        <v>176</v>
      </c>
      <c r="N188" s="102">
        <v>1000000</v>
      </c>
      <c r="O188" s="102">
        <v>1E-4</v>
      </c>
      <c r="P188" s="102">
        <v>1000000</v>
      </c>
    </row>
    <row r="189" spans="1:18" ht="16" customHeight="1" x14ac:dyDescent="0.25">
      <c r="B189" s="64" t="s">
        <v>172</v>
      </c>
      <c r="C189" s="54"/>
      <c r="D189" s="54"/>
      <c r="E189" s="70"/>
      <c r="F189" s="71">
        <f>+F188*F184*12</f>
        <v>0</v>
      </c>
      <c r="G189" s="71">
        <f>+G188*G184*12</f>
        <v>0</v>
      </c>
      <c r="H189" s="71">
        <f>+H188*H184*12</f>
        <v>0</v>
      </c>
      <c r="J189" s="64" t="s">
        <v>177</v>
      </c>
      <c r="N189" s="103">
        <f>+N188*0.39</f>
        <v>390000</v>
      </c>
      <c r="O189" s="103">
        <f>+O188*0.39</f>
        <v>3.9000000000000006E-5</v>
      </c>
      <c r="P189" s="103">
        <f>+P188*0.39</f>
        <v>390000</v>
      </c>
    </row>
    <row r="190" spans="1:18" ht="16" customHeight="1" x14ac:dyDescent="0.25">
      <c r="B190" s="55" t="s">
        <v>217</v>
      </c>
      <c r="C190" s="54"/>
      <c r="D190" s="54"/>
      <c r="E190" s="61"/>
      <c r="F190" s="62"/>
      <c r="G190" s="62"/>
      <c r="H190" s="62"/>
      <c r="J190" s="64" t="s">
        <v>175</v>
      </c>
      <c r="N190" s="104">
        <v>0.7</v>
      </c>
      <c r="O190" s="104">
        <v>0.7</v>
      </c>
      <c r="P190" s="104">
        <v>0.7</v>
      </c>
    </row>
    <row r="191" spans="1:18" ht="16" customHeight="1" x14ac:dyDescent="0.25">
      <c r="B191" s="64" t="s">
        <v>219</v>
      </c>
      <c r="C191" s="54"/>
      <c r="D191" s="54"/>
      <c r="E191" s="61"/>
      <c r="F191" s="62">
        <v>0</v>
      </c>
      <c r="G191" s="62">
        <v>0</v>
      </c>
      <c r="H191" s="372">
        <f>+'Parcel Breakdown'!AR52</f>
        <v>454.54545454545456</v>
      </c>
      <c r="J191" s="63" t="s">
        <v>410</v>
      </c>
    </row>
    <row r="192" spans="1:18" ht="16" customHeight="1" x14ac:dyDescent="0.25">
      <c r="B192" s="64" t="s">
        <v>220</v>
      </c>
      <c r="C192" s="54"/>
      <c r="D192" s="54"/>
      <c r="E192" s="61"/>
      <c r="F192" s="66">
        <f t="shared" ref="F192:H192" si="93">+F$178</f>
        <v>330</v>
      </c>
      <c r="G192" s="66">
        <f t="shared" si="93"/>
        <v>330</v>
      </c>
      <c r="H192" s="66">
        <f t="shared" si="93"/>
        <v>330</v>
      </c>
      <c r="J192" s="64" t="s">
        <v>411</v>
      </c>
      <c r="K192" s="54"/>
      <c r="L192" s="54"/>
      <c r="M192" s="67">
        <v>0.21</v>
      </c>
      <c r="N192" s="68">
        <f>+M192</f>
        <v>0.21</v>
      </c>
      <c r="O192" s="68">
        <f t="shared" ref="O192:P194" si="94">+N192</f>
        <v>0.21</v>
      </c>
      <c r="P192" s="68">
        <f t="shared" si="94"/>
        <v>0.21</v>
      </c>
    </row>
    <row r="193" spans="2:16" ht="16" customHeight="1" x14ac:dyDescent="0.25">
      <c r="B193" s="64" t="s">
        <v>171</v>
      </c>
      <c r="C193" s="54"/>
      <c r="D193" s="54"/>
      <c r="E193" s="65"/>
      <c r="F193" s="66">
        <f>+F191*F192</f>
        <v>0</v>
      </c>
      <c r="G193" s="66">
        <f t="shared" ref="G193" si="95">+G191*G192</f>
        <v>0</v>
      </c>
      <c r="H193" s="66">
        <f t="shared" ref="H193" si="96">+H191*H192</f>
        <v>150000</v>
      </c>
      <c r="J193" s="64" t="s">
        <v>418</v>
      </c>
      <c r="M193" s="542">
        <v>27.5</v>
      </c>
      <c r="N193" s="543">
        <f>+M193</f>
        <v>27.5</v>
      </c>
      <c r="O193" s="543">
        <f t="shared" si="94"/>
        <v>27.5</v>
      </c>
      <c r="P193" s="543">
        <f t="shared" si="94"/>
        <v>27.5</v>
      </c>
    </row>
    <row r="194" spans="2:16" ht="16" customHeight="1" x14ac:dyDescent="0.25">
      <c r="B194" s="64" t="s">
        <v>221</v>
      </c>
      <c r="C194" s="54"/>
      <c r="D194" s="54"/>
      <c r="E194" s="54"/>
      <c r="F194" s="101">
        <v>135</v>
      </c>
      <c r="G194" s="101">
        <f>+F194*(1+0.02)^2</f>
        <v>140.45400000000001</v>
      </c>
      <c r="H194" s="101">
        <f>+F194*(1+0.02)^4</f>
        <v>146.1283416</v>
      </c>
      <c r="J194" s="64" t="s">
        <v>419</v>
      </c>
      <c r="M194" s="67">
        <v>0.8</v>
      </c>
      <c r="N194" s="68">
        <f>+M194</f>
        <v>0.8</v>
      </c>
      <c r="O194" s="68">
        <f t="shared" si="94"/>
        <v>0.8</v>
      </c>
      <c r="P194" s="68">
        <f t="shared" si="94"/>
        <v>0.8</v>
      </c>
    </row>
    <row r="195" spans="2:16" ht="16" customHeight="1" x14ac:dyDescent="0.25">
      <c r="B195" s="64" t="s">
        <v>172</v>
      </c>
      <c r="C195" s="54"/>
      <c r="D195" s="54"/>
      <c r="E195" s="70"/>
      <c r="F195" s="71">
        <f>+F194*F191*12</f>
        <v>0</v>
      </c>
      <c r="G195" s="71">
        <f>+G194*G191*12</f>
        <v>0</v>
      </c>
      <c r="H195" s="71">
        <f>+H194*H191*12</f>
        <v>797063.68145454547</v>
      </c>
    </row>
    <row r="196" spans="2:16" ht="16" customHeight="1" x14ac:dyDescent="0.25">
      <c r="B196" s="55" t="s">
        <v>218</v>
      </c>
      <c r="C196" s="54"/>
      <c r="D196" s="54"/>
      <c r="E196" s="61"/>
      <c r="F196" s="62"/>
      <c r="G196" s="62"/>
      <c r="H196" s="62"/>
    </row>
    <row r="197" spans="2:16" ht="16" customHeight="1" x14ac:dyDescent="0.25">
      <c r="B197" s="64" t="s">
        <v>219</v>
      </c>
      <c r="C197" s="54"/>
      <c r="D197" s="54"/>
      <c r="E197" s="61"/>
      <c r="F197" s="62">
        <v>0</v>
      </c>
      <c r="G197" s="62">
        <v>0</v>
      </c>
      <c r="H197" s="62">
        <v>0</v>
      </c>
      <c r="N197" s="196"/>
    </row>
    <row r="198" spans="2:16" ht="16" customHeight="1" x14ac:dyDescent="0.25">
      <c r="B198" s="64" t="s">
        <v>220</v>
      </c>
      <c r="C198" s="54"/>
      <c r="D198" s="54"/>
      <c r="E198" s="61"/>
      <c r="F198" s="66">
        <f t="shared" ref="F198:H198" si="97">+F$178</f>
        <v>330</v>
      </c>
      <c r="G198" s="66">
        <f t="shared" si="97"/>
        <v>330</v>
      </c>
      <c r="H198" s="66">
        <f t="shared" si="97"/>
        <v>330</v>
      </c>
      <c r="N198" s="196"/>
    </row>
    <row r="199" spans="2:16" ht="16" customHeight="1" x14ac:dyDescent="0.25">
      <c r="B199" s="64" t="s">
        <v>171</v>
      </c>
      <c r="C199" s="54"/>
      <c r="D199" s="54"/>
      <c r="E199" s="65"/>
      <c r="F199" s="66">
        <f>+F197*F198</f>
        <v>0</v>
      </c>
      <c r="G199" s="66">
        <f t="shared" ref="G199" si="98">+G197*G198</f>
        <v>0</v>
      </c>
      <c r="H199" s="66">
        <f t="shared" ref="H199" si="99">+H197*H198</f>
        <v>0</v>
      </c>
      <c r="N199" s="196"/>
    </row>
    <row r="200" spans="2:16" ht="16" customHeight="1" x14ac:dyDescent="0.25">
      <c r="B200" s="64"/>
      <c r="C200" s="54"/>
      <c r="D200" s="54"/>
      <c r="E200" s="65"/>
      <c r="F200" s="92"/>
      <c r="G200" s="92"/>
      <c r="H200" s="92"/>
      <c r="N200" s="4"/>
      <c r="P200" s="4"/>
    </row>
    <row r="201" spans="2:16" ht="16" customHeight="1" x14ac:dyDescent="0.25">
      <c r="B201" s="64" t="s">
        <v>221</v>
      </c>
      <c r="C201" s="54"/>
      <c r="D201" s="54"/>
      <c r="E201" s="54"/>
      <c r="F201" s="101">
        <v>0</v>
      </c>
      <c r="G201" s="101">
        <v>0</v>
      </c>
      <c r="H201" s="101">
        <v>0</v>
      </c>
    </row>
    <row r="202" spans="2:16" ht="16" customHeight="1" x14ac:dyDescent="0.25">
      <c r="B202" s="64" t="s">
        <v>172</v>
      </c>
      <c r="C202" s="54"/>
      <c r="D202" s="54"/>
      <c r="E202" s="70"/>
      <c r="F202" s="71">
        <f>+F201*F197*12</f>
        <v>0</v>
      </c>
      <c r="G202" s="71">
        <f>+G201*G197*12</f>
        <v>0</v>
      </c>
      <c r="H202" s="71">
        <f>+H201*H197*12</f>
        <v>0</v>
      </c>
      <c r="N202" s="230"/>
    </row>
    <row r="203" spans="2:16" ht="16" customHeight="1" x14ac:dyDescent="0.25">
      <c r="B203" s="75" t="s">
        <v>214</v>
      </c>
      <c r="C203" s="76"/>
      <c r="D203" s="76"/>
      <c r="E203" s="77">
        <f>+SUM(F203:H203)</f>
        <v>2000964.9322472729</v>
      </c>
      <c r="F203" s="78">
        <f>+F182+F189+F195+F202</f>
        <v>407454.54545454547</v>
      </c>
      <c r="G203" s="78">
        <f>+G182+G189+G195+G202</f>
        <v>541386.32727272727</v>
      </c>
      <c r="H203" s="78">
        <f>+H182+H189+H195+H202</f>
        <v>1052124.0595200001</v>
      </c>
      <c r="N203" s="196"/>
    </row>
    <row r="204" spans="2:16" ht="16" customHeight="1" x14ac:dyDescent="0.25">
      <c r="B204" s="79" t="s">
        <v>231</v>
      </c>
      <c r="C204" s="80"/>
      <c r="D204" s="80"/>
      <c r="E204" s="81">
        <f>+SUM(F204:H204)</f>
        <v>237000</v>
      </c>
      <c r="F204" s="82">
        <f>+F179+F186</f>
        <v>83000</v>
      </c>
      <c r="G204" s="82">
        <f>+G179+G186</f>
        <v>105999.99999999999</v>
      </c>
      <c r="H204" s="82">
        <f>+H179+H186</f>
        <v>48000.000000000007</v>
      </c>
    </row>
    <row r="205" spans="2:16" ht="16" customHeight="1" x14ac:dyDescent="0.25">
      <c r="B205" s="64" t="s">
        <v>232</v>
      </c>
      <c r="C205" s="53"/>
      <c r="E205" s="61">
        <f>+SUM(F205:H205)</f>
        <v>150000</v>
      </c>
      <c r="F205" s="66">
        <f>+F193+F199</f>
        <v>0</v>
      </c>
      <c r="G205" s="66">
        <f>+G193+G199</f>
        <v>0</v>
      </c>
      <c r="H205" s="66">
        <f>+H193+H199</f>
        <v>150000</v>
      </c>
    </row>
    <row r="206" spans="2:16" ht="16" customHeight="1" x14ac:dyDescent="0.25">
      <c r="B206" s="84" t="s">
        <v>138</v>
      </c>
      <c r="C206" s="85"/>
      <c r="D206" s="85"/>
      <c r="E206" s="95">
        <f>+IFERROR(E203/SUM(E204:E205),"")</f>
        <v>5.1704520213107825</v>
      </c>
      <c r="F206" s="96">
        <f t="shared" ref="F206:H206" si="100">+IFERROR(F203/SUM(F204:F205),"")</f>
        <v>4.9090909090909092</v>
      </c>
      <c r="G206" s="96">
        <f t="shared" si="100"/>
        <v>5.1074181818181827</v>
      </c>
      <c r="H206" s="96">
        <f t="shared" si="100"/>
        <v>5.3137578763636366</v>
      </c>
    </row>
    <row r="208" spans="2:16" ht="16" customHeight="1" thickBot="1" x14ac:dyDescent="0.3">
      <c r="B208" s="802" t="s">
        <v>236</v>
      </c>
      <c r="C208" s="802"/>
      <c r="D208" s="54"/>
      <c r="E208" s="50" t="s">
        <v>63</v>
      </c>
      <c r="F208" s="50" t="str">
        <f>+F$21</f>
        <v>I</v>
      </c>
      <c r="G208" s="50" t="str">
        <f>+G$21</f>
        <v>II</v>
      </c>
      <c r="H208" s="50" t="str">
        <f>+H$21</f>
        <v>III</v>
      </c>
    </row>
    <row r="209" spans="2:8" ht="16" customHeight="1" x14ac:dyDescent="0.25">
      <c r="B209" s="55" t="s">
        <v>491</v>
      </c>
      <c r="C209" s="54"/>
      <c r="D209" s="54"/>
      <c r="E209" s="61"/>
      <c r="F209" s="62"/>
      <c r="G209" s="62"/>
      <c r="H209" s="62"/>
    </row>
    <row r="210" spans="2:8" ht="16" customHeight="1" x14ac:dyDescent="0.25">
      <c r="B210" s="64" t="s">
        <v>171</v>
      </c>
      <c r="C210" s="54"/>
      <c r="D210" s="54"/>
      <c r="E210" s="65"/>
      <c r="F210" s="62">
        <v>9.9999999999999995E-7</v>
      </c>
      <c r="G210" s="62">
        <v>9.9999999999999995E-7</v>
      </c>
      <c r="H210" s="372">
        <f>+'Parcel Breakdown'!AV26</f>
        <v>234630</v>
      </c>
    </row>
    <row r="211" spans="2:8" ht="16" customHeight="1" x14ac:dyDescent="0.25">
      <c r="B211" s="64" t="s">
        <v>119</v>
      </c>
      <c r="C211" s="54"/>
      <c r="D211" s="54"/>
      <c r="E211" s="54"/>
      <c r="F211" s="101">
        <v>12</v>
      </c>
      <c r="G211" s="101">
        <f>+F211*(1+0.02)^2</f>
        <v>12.4848</v>
      </c>
      <c r="H211" s="101">
        <f>+G211*(1+0.02)^2</f>
        <v>12.989185920000001</v>
      </c>
    </row>
    <row r="212" spans="2:8" ht="16" customHeight="1" x14ac:dyDescent="0.25">
      <c r="B212" s="64" t="s">
        <v>172</v>
      </c>
      <c r="C212" s="54"/>
      <c r="D212" s="54"/>
      <c r="E212" s="70"/>
      <c r="F212" s="71">
        <f>+F211*F210</f>
        <v>1.2E-5</v>
      </c>
      <c r="G212" s="71">
        <f t="shared" ref="G212:H212" si="101">+G211*G210</f>
        <v>1.2484799999999999E-5</v>
      </c>
      <c r="H212" s="71">
        <f t="shared" si="101"/>
        <v>3047652.6924096001</v>
      </c>
    </row>
    <row r="213" spans="2:8" ht="16" customHeight="1" x14ac:dyDescent="0.25">
      <c r="B213" s="55" t="s">
        <v>19</v>
      </c>
      <c r="E213" s="61"/>
      <c r="F213" s="62"/>
      <c r="G213" s="62"/>
      <c r="H213" s="62"/>
    </row>
    <row r="214" spans="2:8" ht="16" customHeight="1" x14ac:dyDescent="0.25">
      <c r="B214" s="64" t="s">
        <v>171</v>
      </c>
      <c r="E214" s="65"/>
      <c r="F214" s="62">
        <v>0</v>
      </c>
      <c r="G214" s="62">
        <v>0</v>
      </c>
      <c r="H214" s="62">
        <v>0</v>
      </c>
    </row>
    <row r="215" spans="2:8" ht="16" customHeight="1" x14ac:dyDescent="0.25">
      <c r="B215" s="64" t="s">
        <v>119</v>
      </c>
      <c r="E215" s="54"/>
      <c r="F215" s="101">
        <v>12</v>
      </c>
      <c r="G215" s="101">
        <v>12</v>
      </c>
      <c r="H215" s="101">
        <v>12</v>
      </c>
    </row>
    <row r="216" spans="2:8" ht="16" customHeight="1" x14ac:dyDescent="0.25">
      <c r="B216" s="64" t="s">
        <v>172</v>
      </c>
      <c r="E216" s="70"/>
      <c r="F216" s="71">
        <f>+F215*F214</f>
        <v>0</v>
      </c>
      <c r="G216" s="71">
        <f t="shared" ref="G216:H216" si="102">+G215*G214</f>
        <v>0</v>
      </c>
      <c r="H216" s="71">
        <f t="shared" si="102"/>
        <v>0</v>
      </c>
    </row>
    <row r="217" spans="2:8" ht="16" customHeight="1" x14ac:dyDescent="0.25">
      <c r="B217" s="75" t="s">
        <v>237</v>
      </c>
      <c r="C217" s="76"/>
      <c r="D217" s="76"/>
      <c r="E217" s="77">
        <f>+SUM(F217:H217)</f>
        <v>3047652.6924340851</v>
      </c>
      <c r="F217" s="78">
        <f>+F212+F216</f>
        <v>1.2E-5</v>
      </c>
      <c r="G217" s="78">
        <f t="shared" ref="G217:H217" si="103">+G212+G216</f>
        <v>1.2484799999999999E-5</v>
      </c>
      <c r="H217" s="78">
        <f t="shared" si="103"/>
        <v>3047652.6924096001</v>
      </c>
    </row>
    <row r="218" spans="2:8" ht="16" customHeight="1" x14ac:dyDescent="0.25">
      <c r="B218" s="79" t="s">
        <v>135</v>
      </c>
      <c r="C218" s="80"/>
      <c r="D218" s="80"/>
      <c r="E218" s="81">
        <f>+SUM(F218:H218)</f>
        <v>234630.00000199999</v>
      </c>
      <c r="F218" s="82">
        <f>+F210+F214</f>
        <v>9.9999999999999995E-7</v>
      </c>
      <c r="G218" s="82">
        <f t="shared" ref="G218:H218" si="104">+G210+G214</f>
        <v>9.9999999999999995E-7</v>
      </c>
      <c r="H218" s="82">
        <f t="shared" si="104"/>
        <v>234630</v>
      </c>
    </row>
    <row r="219" spans="2:8" ht="16" customHeight="1" x14ac:dyDescent="0.25">
      <c r="B219" s="84" t="s">
        <v>138</v>
      </c>
      <c r="C219" s="85"/>
      <c r="D219" s="85"/>
      <c r="E219" s="95">
        <f>+IFERROR(E217/E218,"")</f>
        <v>12.989185919993636</v>
      </c>
      <c r="F219" s="96">
        <f>+IFERROR(F217/F218,"")</f>
        <v>12</v>
      </c>
      <c r="G219" s="96">
        <f t="shared" ref="G219:H219" si="105">+IFERROR(G217/G218,"")</f>
        <v>12.4848</v>
      </c>
      <c r="H219" s="96">
        <f t="shared" si="105"/>
        <v>12.989185920000001</v>
      </c>
    </row>
  </sheetData>
  <mergeCells count="15">
    <mergeCell ref="B60:C60"/>
    <mergeCell ref="J20:K20"/>
    <mergeCell ref="B208:C208"/>
    <mergeCell ref="B92:C92"/>
    <mergeCell ref="J138:K138"/>
    <mergeCell ref="B123:C123"/>
    <mergeCell ref="B140:C140"/>
    <mergeCell ref="B158:C158"/>
    <mergeCell ref="B175:C175"/>
    <mergeCell ref="J126:K126"/>
    <mergeCell ref="R21:S21"/>
    <mergeCell ref="F20:H20"/>
    <mergeCell ref="B21:C21"/>
    <mergeCell ref="B33:C33"/>
    <mergeCell ref="J52:K5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A53"/>
  <sheetViews>
    <sheetView showGridLines="0" topLeftCell="A4" zoomScale="55" zoomScaleNormal="55" workbookViewId="0">
      <selection activeCell="F17" sqref="F17"/>
    </sheetView>
  </sheetViews>
  <sheetFormatPr defaultColWidth="8.81640625" defaultRowHeight="16" customHeight="1" x14ac:dyDescent="0.35"/>
  <cols>
    <col min="1" max="1" width="8.81640625" style="41"/>
    <col min="2" max="2" width="11.453125" style="41" customWidth="1"/>
    <col min="3" max="3" width="14.453125" style="41" customWidth="1"/>
    <col min="4" max="4" width="16.453125" style="327" customWidth="1"/>
    <col min="5" max="8" width="14.453125" style="327" customWidth="1"/>
    <col min="9" max="9" width="4" style="327" customWidth="1"/>
    <col min="10" max="10" width="4.1796875" style="327" customWidth="1"/>
    <col min="11" max="11" width="12.453125" style="41" bestFit="1" customWidth="1"/>
    <col min="12" max="12" width="7.453125" style="327" customWidth="1"/>
    <col min="13" max="24" width="16.453125" style="327" customWidth="1"/>
    <col min="25" max="25" width="7.453125" style="327" customWidth="1"/>
    <col min="26" max="26" width="16.453125" style="41" customWidth="1"/>
    <col min="27" max="27" width="16.1796875" style="41" customWidth="1"/>
    <col min="28" max="35" width="16.453125" style="41" customWidth="1"/>
    <col min="36" max="38" width="8.81640625" style="41"/>
    <col min="39" max="39" width="12.453125" style="41" customWidth="1"/>
    <col min="40" max="40" width="8.81640625" style="41"/>
    <col min="41" max="50" width="16.453125" style="41" customWidth="1"/>
    <col min="51" max="51" width="11.453125" style="41" bestFit="1" customWidth="1"/>
    <col min="52" max="52" width="8.81640625" style="41"/>
    <col min="53" max="53" width="13.453125" style="41" customWidth="1"/>
    <col min="54" max="16384" width="8.81640625" style="41"/>
  </cols>
  <sheetData>
    <row r="1" spans="1:53" ht="16" customHeight="1" x14ac:dyDescent="0.35">
      <c r="M1" s="146">
        <v>0</v>
      </c>
      <c r="N1" s="146">
        <f>+M1+1</f>
        <v>1</v>
      </c>
      <c r="O1" s="146">
        <f t="shared" ref="O1" si="0">+N1+1</f>
        <v>2</v>
      </c>
      <c r="P1" s="146">
        <f t="shared" ref="P1" si="1">+O1+1</f>
        <v>3</v>
      </c>
      <c r="Q1" s="146">
        <f t="shared" ref="Q1" si="2">+P1+1</f>
        <v>4</v>
      </c>
      <c r="R1" s="146">
        <f t="shared" ref="R1" si="3">+Q1+1</f>
        <v>5</v>
      </c>
      <c r="S1" s="146">
        <f t="shared" ref="S1" si="4">+R1+1</f>
        <v>6</v>
      </c>
      <c r="T1" s="146">
        <f t="shared" ref="T1" si="5">+S1+1</f>
        <v>7</v>
      </c>
      <c r="U1" s="146">
        <f t="shared" ref="U1" si="6">+T1+1</f>
        <v>8</v>
      </c>
      <c r="V1" s="146"/>
      <c r="W1" s="146"/>
      <c r="Z1" s="146">
        <v>0</v>
      </c>
      <c r="AA1" s="146">
        <f>+Z1+1</f>
        <v>1</v>
      </c>
      <c r="AB1" s="146">
        <f t="shared" ref="AB1:AI1" si="7">+AA1+1</f>
        <v>2</v>
      </c>
      <c r="AC1" s="146">
        <f t="shared" si="7"/>
        <v>3</v>
      </c>
      <c r="AD1" s="146">
        <f t="shared" si="7"/>
        <v>4</v>
      </c>
      <c r="AE1" s="146">
        <f t="shared" si="7"/>
        <v>5</v>
      </c>
      <c r="AF1" s="146">
        <f t="shared" si="7"/>
        <v>6</v>
      </c>
      <c r="AG1" s="146">
        <f t="shared" si="7"/>
        <v>7</v>
      </c>
      <c r="AH1" s="146">
        <f t="shared" si="7"/>
        <v>8</v>
      </c>
      <c r="AI1" s="146">
        <f t="shared" si="7"/>
        <v>9</v>
      </c>
    </row>
    <row r="2" spans="1:53" ht="16" customHeight="1" x14ac:dyDescent="0.35">
      <c r="M2" s="545">
        <f ca="1">+OFFSET(Budget!$D$35,'Parcel Breakdown'!M1,0)</f>
        <v>170</v>
      </c>
      <c r="N2" s="545">
        <f ca="1">+OFFSET(Budget!$D$35,'Parcel Breakdown'!N1,0)</f>
        <v>180</v>
      </c>
      <c r="O2" s="545">
        <f ca="1">+OFFSET(Budget!$D$35,'Parcel Breakdown'!O1,0)</f>
        <v>165</v>
      </c>
      <c r="P2" s="545">
        <f ca="1">+OFFSET(Budget!$D$35,'Parcel Breakdown'!P1,0)</f>
        <v>185</v>
      </c>
      <c r="Q2" s="545">
        <f ca="1">+OFFSET(Budget!$D$35,'Parcel Breakdown'!Q1,0)</f>
        <v>165</v>
      </c>
      <c r="R2" s="545">
        <f ca="1">+OFFSET(Budget!$D$35,'Parcel Breakdown'!R1,0)</f>
        <v>165</v>
      </c>
      <c r="S2" s="545">
        <f ca="1">+OFFSET(Budget!$D$35,'Parcel Breakdown'!S1,0)</f>
        <v>110</v>
      </c>
      <c r="T2" s="545">
        <f ca="1">+OFFSET(Budget!$D$35,'Parcel Breakdown'!T1,0)</f>
        <v>50</v>
      </c>
      <c r="U2" s="545">
        <f ca="1">+OFFSET(Budget!$D$35,'Parcel Breakdown'!U1,0)</f>
        <v>10</v>
      </c>
      <c r="V2" s="545"/>
      <c r="W2" s="545"/>
      <c r="Z2" s="146"/>
      <c r="AA2" s="146"/>
      <c r="AB2" s="146"/>
      <c r="AC2" s="146"/>
      <c r="AD2" s="146"/>
      <c r="AE2" s="146"/>
      <c r="AF2" s="146"/>
      <c r="AG2" s="146"/>
      <c r="AH2" s="146"/>
      <c r="AI2" s="146"/>
    </row>
    <row r="3" spans="1:53" ht="16" customHeight="1" x14ac:dyDescent="0.35">
      <c r="M3" s="803" t="s">
        <v>616</v>
      </c>
      <c r="N3" s="803"/>
      <c r="O3" s="803"/>
      <c r="P3" s="803"/>
      <c r="Q3" s="803"/>
      <c r="R3" s="803"/>
      <c r="S3" s="803"/>
      <c r="T3" s="803"/>
      <c r="U3" s="803"/>
      <c r="V3" s="803" t="s">
        <v>617</v>
      </c>
      <c r="W3" s="803"/>
      <c r="Z3" s="803" t="s">
        <v>473</v>
      </c>
      <c r="AA3" s="803"/>
      <c r="AB3" s="803"/>
      <c r="AC3" s="803"/>
      <c r="AD3" s="803"/>
      <c r="AE3" s="803"/>
      <c r="AF3" s="803"/>
      <c r="AG3" s="803"/>
      <c r="AH3" s="803"/>
      <c r="AI3" s="324"/>
      <c r="AK3" s="803" t="s">
        <v>476</v>
      </c>
      <c r="AL3" s="803"/>
      <c r="AM3" s="803"/>
      <c r="AP3" s="803" t="s">
        <v>474</v>
      </c>
      <c r="AQ3" s="803"/>
      <c r="AR3" s="803"/>
      <c r="AS3" s="803"/>
      <c r="AT3" s="803"/>
      <c r="AU3" s="803"/>
      <c r="AV3" s="803"/>
      <c r="AW3" s="803"/>
      <c r="AX3" s="803"/>
    </row>
    <row r="4" spans="1:53" ht="53.25" customHeight="1" x14ac:dyDescent="0.35">
      <c r="B4" s="211" t="s">
        <v>452</v>
      </c>
      <c r="C4" s="211" t="s">
        <v>245</v>
      </c>
      <c r="D4" s="211" t="s">
        <v>493</v>
      </c>
      <c r="E4" s="404" t="s">
        <v>562</v>
      </c>
      <c r="F4" s="324" t="s">
        <v>470</v>
      </c>
      <c r="G4" s="324" t="s">
        <v>471</v>
      </c>
      <c r="H4" s="324" t="s">
        <v>472</v>
      </c>
      <c r="I4" s="330"/>
      <c r="J4" s="330"/>
      <c r="K4" s="212" t="s">
        <v>230</v>
      </c>
      <c r="L4" s="330"/>
      <c r="M4" s="544" t="str">
        <f ca="1">+OFFSET(Budget!$B$35,M1,0)</f>
        <v>Affordable Residential</v>
      </c>
      <c r="N4" s="544" t="str">
        <f ca="1">+OFFSET(Budget!$B$35,N1,0)</f>
        <v>Market Rate Residential</v>
      </c>
      <c r="O4" s="544" t="str">
        <f ca="1">+OFFSET(Budget!$B$35,O1,0)</f>
        <v>Retail</v>
      </c>
      <c r="P4" s="544" t="str">
        <f ca="1">+OFFSET(Budget!$B$35,P1,0)</f>
        <v>Hotel</v>
      </c>
      <c r="Q4" s="544" t="str">
        <f ca="1">+OFFSET(Budget!$B$35,Q1,0)</f>
        <v>Community Facility</v>
      </c>
      <c r="R4" s="544" t="str">
        <f ca="1">+OFFSET(Budget!$B$35,R1,0)</f>
        <v>Office</v>
      </c>
      <c r="S4" s="544" t="str">
        <f ca="1">+OFFSET(Budget!$B$35,S1,0)</f>
        <v>Industrial</v>
      </c>
      <c r="T4" s="544" t="str">
        <f ca="1">+OFFSET(Budget!$B$35,T1,0)</f>
        <v>Structural Parking</v>
      </c>
      <c r="U4" s="544" t="str">
        <f ca="1">+OFFSET(Budget!$B$35,U1,0)</f>
        <v>Surface Parking</v>
      </c>
      <c r="V4" s="544" t="s">
        <v>618</v>
      </c>
      <c r="W4" s="544" t="s">
        <v>619</v>
      </c>
      <c r="X4" s="330"/>
      <c r="Y4" s="330"/>
      <c r="Z4" s="212" t="str">
        <f ca="1">+OFFSET(Budget!$B$35,Z1,0)</f>
        <v>Affordable Residential</v>
      </c>
      <c r="AA4" s="324" t="str">
        <f ca="1">+OFFSET(Budget!$B$35,AA1,0)</f>
        <v>Market Rate Residential</v>
      </c>
      <c r="AB4" s="324" t="str">
        <f ca="1">+OFFSET(Budget!$B$35,AB1,0)</f>
        <v>Retail</v>
      </c>
      <c r="AC4" s="324" t="str">
        <f ca="1">+OFFSET(Budget!$B$35,AC1,0)</f>
        <v>Hotel</v>
      </c>
      <c r="AD4" s="324" t="str">
        <f ca="1">+OFFSET(Budget!$B$35,AD1,0)</f>
        <v>Community Facility</v>
      </c>
      <c r="AE4" s="324" t="str">
        <f ca="1">+OFFSET(Budget!$B$35,AE1,0)</f>
        <v>Office</v>
      </c>
      <c r="AF4" s="324" t="str">
        <f ca="1">+OFFSET(Budget!$B$35,AF1,0)</f>
        <v>Industrial</v>
      </c>
      <c r="AG4" s="324" t="str">
        <f ca="1">+OFFSET(Budget!$B$35,AG1,0)</f>
        <v>Structural Parking</v>
      </c>
      <c r="AH4" s="324" t="str">
        <f ca="1">+OFFSET(Budget!$B$35,AH1,0)</f>
        <v>Surface Parking</v>
      </c>
      <c r="AI4" s="366" t="s">
        <v>478</v>
      </c>
      <c r="AK4" s="324" t="s">
        <v>475</v>
      </c>
      <c r="AL4" s="324" t="s">
        <v>26</v>
      </c>
      <c r="AM4" s="324" t="s">
        <v>477</v>
      </c>
      <c r="AN4" s="331"/>
      <c r="AO4" s="324" t="s">
        <v>229</v>
      </c>
      <c r="AP4" s="324" t="str">
        <f ca="1">+Z4</f>
        <v>Affordable Residential</v>
      </c>
      <c r="AQ4" s="324" t="str">
        <f t="shared" ref="AQ4:AX4" ca="1" si="8">+AA4</f>
        <v>Market Rate Residential</v>
      </c>
      <c r="AR4" s="324" t="str">
        <f t="shared" ca="1" si="8"/>
        <v>Retail</v>
      </c>
      <c r="AS4" s="324" t="str">
        <f t="shared" ca="1" si="8"/>
        <v>Hotel</v>
      </c>
      <c r="AT4" s="324" t="str">
        <f t="shared" ca="1" si="8"/>
        <v>Community Facility</v>
      </c>
      <c r="AU4" s="324" t="str">
        <f t="shared" ca="1" si="8"/>
        <v>Office</v>
      </c>
      <c r="AV4" s="324" t="str">
        <f t="shared" ca="1" si="8"/>
        <v>Industrial</v>
      </c>
      <c r="AW4" s="324" t="str">
        <f t="shared" ca="1" si="8"/>
        <v>Structural Parking</v>
      </c>
      <c r="AX4" s="324" t="str">
        <f t="shared" ca="1" si="8"/>
        <v>Surface Parking</v>
      </c>
      <c r="BA4" s="404" t="s">
        <v>578</v>
      </c>
    </row>
    <row r="5" spans="1:53" s="207" customFormat="1" ht="31.5" customHeight="1" x14ac:dyDescent="0.35">
      <c r="B5" s="328"/>
      <c r="C5" s="328"/>
      <c r="D5" s="330"/>
      <c r="E5" s="330"/>
      <c r="F5" s="330"/>
      <c r="G5" s="330"/>
      <c r="H5" s="330"/>
      <c r="I5" s="330"/>
      <c r="J5" s="330"/>
      <c r="K5" s="330"/>
      <c r="L5" s="330"/>
      <c r="M5" s="363"/>
      <c r="N5" s="363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63">
        <v>0.2</v>
      </c>
      <c r="AA5" s="363">
        <v>0.8</v>
      </c>
      <c r="AB5" s="330"/>
      <c r="AC5" s="330"/>
      <c r="AD5" s="330"/>
      <c r="AE5" s="330"/>
      <c r="AF5" s="330"/>
      <c r="AG5" s="330"/>
      <c r="AH5" s="330"/>
      <c r="AI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BA5" s="330"/>
    </row>
    <row r="6" spans="1:53" ht="16" customHeight="1" x14ac:dyDescent="0.35">
      <c r="A6" s="527" t="str">
        <f>RIGHT(B6,2)</f>
        <v>A1</v>
      </c>
      <c r="B6" s="352" t="s">
        <v>466</v>
      </c>
      <c r="C6" s="353" t="s">
        <v>244</v>
      </c>
      <c r="D6" s="353" t="s">
        <v>492</v>
      </c>
      <c r="E6" s="354">
        <v>53728</v>
      </c>
      <c r="F6" s="354">
        <v>139509</v>
      </c>
      <c r="G6" s="354">
        <v>102611</v>
      </c>
      <c r="H6" s="354">
        <v>0</v>
      </c>
      <c r="I6" s="342"/>
      <c r="J6" s="342"/>
      <c r="K6" s="355">
        <f>+SUM(F6:H6)</f>
        <v>242120</v>
      </c>
      <c r="L6" s="342"/>
      <c r="M6" s="546">
        <f ca="1">+M$2*Z6*(1+Assumptions!$P$85)^Assumptions!$P$86</f>
        <v>8285022.3472127998</v>
      </c>
      <c r="N6" s="546">
        <f ca="1">+N$2*AA6*(1+Assumptions!$P$85)^Assumptions!$P$86</f>
        <v>35089506.411724798</v>
      </c>
      <c r="O6" s="546">
        <f ca="1">+O$2*AB6*(1+Assumptions!$P$85)^Assumptions!$P$86</f>
        <v>3036222.2088000001</v>
      </c>
      <c r="P6" s="546">
        <f ca="1">+P$2*AC6*(1+Assumptions!$P$85)^Assumptions!$P$86</f>
        <v>0</v>
      </c>
      <c r="Q6" s="546">
        <f ca="1">+Q$2*AD6*(1+Assumptions!$P$85)^Assumptions!$P$86</f>
        <v>0</v>
      </c>
      <c r="R6" s="546">
        <f ca="1">+R$2*AE6*(1+Assumptions!$P$85)^Assumptions!$P$86</f>
        <v>0</v>
      </c>
      <c r="S6" s="546">
        <f ca="1">+S$2*AF6*(1+Assumptions!$P$85)^Assumptions!$P$86</f>
        <v>0</v>
      </c>
      <c r="T6" s="546">
        <f ca="1">+T$2*AG6*(1+Assumptions!$P$85)^Assumptions!$P$86</f>
        <v>0</v>
      </c>
      <c r="U6" s="546">
        <f ca="1">+U$2*AH6*(1+Assumptions!$P$85)^Assumptions!$P$86</f>
        <v>0</v>
      </c>
      <c r="V6" s="546">
        <f ca="1">+SUM(M6:U6)/K6</f>
        <v>191.68491230686271</v>
      </c>
      <c r="W6" s="546">
        <f ca="1">+SUM(M6:S6)/SUM(F6:G6)</f>
        <v>191.68491230686271</v>
      </c>
      <c r="X6" s="342"/>
      <c r="Y6" s="342"/>
      <c r="Z6" s="355">
        <f t="shared" ref="Z6:AA22" si="9">+($K6-SUM($AB6:$AH6))*Z$5</f>
        <v>45024</v>
      </c>
      <c r="AA6" s="355">
        <f t="shared" si="9"/>
        <v>180096</v>
      </c>
      <c r="AB6" s="354">
        <v>17000</v>
      </c>
      <c r="AC6" s="354">
        <v>0</v>
      </c>
      <c r="AD6" s="354">
        <v>0</v>
      </c>
      <c r="AE6" s="354">
        <v>0</v>
      </c>
      <c r="AF6" s="354">
        <v>0</v>
      </c>
      <c r="AG6" s="354">
        <f t="shared" ref="AG6:AG21" si="10">+H6</f>
        <v>0</v>
      </c>
      <c r="AH6" s="354">
        <v>0</v>
      </c>
      <c r="AI6" s="367">
        <f t="shared" ref="AI6:AI26" si="11">+K6-SUM(Z6:AH6)</f>
        <v>0</v>
      </c>
      <c r="AJ6" s="207"/>
      <c r="AK6" s="359">
        <v>0.83047752309879197</v>
      </c>
      <c r="AL6" s="359"/>
      <c r="AM6" s="364">
        <f t="shared" ref="AM6:AM22" si="12">+SUM(AP6:AV6)/SUM(Z6:AF6)</f>
        <v>0.83535891293573461</v>
      </c>
      <c r="AN6" s="359"/>
      <c r="AO6" s="360">
        <f>+SUM(AP6:AX6)</f>
        <v>202257.10000000006</v>
      </c>
      <c r="AP6" s="355">
        <f t="shared" ref="AP6:AP22" si="13">+Z6*$AK6</f>
        <v>37391.420000000013</v>
      </c>
      <c r="AQ6" s="355">
        <f t="shared" ref="AQ6:AQ22" si="14">+AA6*$AK6</f>
        <v>149565.68000000005</v>
      </c>
      <c r="AR6" s="355">
        <f>+AB6*0.9</f>
        <v>15300</v>
      </c>
      <c r="AS6" s="355">
        <f t="shared" ref="AS6:AS8" si="15">+AC6*0.75</f>
        <v>0</v>
      </c>
      <c r="AT6" s="355">
        <f t="shared" ref="AT6:AT7" si="16">+AD6</f>
        <v>0</v>
      </c>
      <c r="AU6" s="355">
        <f t="shared" ref="AU6" si="17">+AE6*0.9</f>
        <v>0</v>
      </c>
      <c r="AV6" s="355">
        <f>+AF6</f>
        <v>0</v>
      </c>
      <c r="AW6" s="355">
        <f>+AG6</f>
        <v>0</v>
      </c>
      <c r="AX6" s="355">
        <f t="shared" ref="AX6:AX22" si="18">+AH6</f>
        <v>0</v>
      </c>
      <c r="BA6" s="355">
        <f>IFERROR(VLOOKUP(A6,Acquisition!$C$5:$E$10,3,FALSE),0)+1</f>
        <v>1</v>
      </c>
    </row>
    <row r="7" spans="1:53" ht="16" customHeight="1" x14ac:dyDescent="0.35">
      <c r="A7" s="527" t="str">
        <f t="shared" ref="A7:A9" si="19">RIGHT(B7,2)</f>
        <v>A2</v>
      </c>
      <c r="B7" s="352" t="s">
        <v>467</v>
      </c>
      <c r="C7" s="353" t="s">
        <v>244</v>
      </c>
      <c r="D7" s="353" t="s">
        <v>492</v>
      </c>
      <c r="E7" s="354">
        <v>53502</v>
      </c>
      <c r="F7" s="354">
        <v>175805</v>
      </c>
      <c r="G7" s="354">
        <v>249599</v>
      </c>
      <c r="H7" s="354">
        <v>0</v>
      </c>
      <c r="I7" s="342"/>
      <c r="J7" s="342"/>
      <c r="K7" s="355">
        <f t="shared" ref="K7:K22" si="20">+SUM(F7:H7)</f>
        <v>425404</v>
      </c>
      <c r="L7" s="342"/>
      <c r="M7" s="546">
        <f ca="1">+M$2*Z7*(1+Assumptions!$P$85)^Assumptions!$P$86</f>
        <v>6061178.7042192044</v>
      </c>
      <c r="N7" s="546">
        <f ca="1">+N$2*AA7*(1+Assumptions!$P$85)^Assumptions!$P$86</f>
        <v>25670874.51198722</v>
      </c>
      <c r="O7" s="546">
        <f ca="1">+O$2*AB7*(1+Assumptions!$P$85)^Assumptions!$P$86</f>
        <v>4465032.66</v>
      </c>
      <c r="P7" s="546">
        <f ca="1">+P$2*AC7*(1+Assumptions!$P$85)^Assumptions!$P$86</f>
        <v>0</v>
      </c>
      <c r="Q7" s="546">
        <f ca="1">+Q$2*AD7*(1+Assumptions!$P$85)^Assumptions!$P$86</f>
        <v>0</v>
      </c>
      <c r="R7" s="546">
        <f ca="1">+R$2*AE7*(1+Assumptions!$P$85)^Assumptions!$P$86</f>
        <v>42098133.776133575</v>
      </c>
      <c r="S7" s="546">
        <f ca="1">+S$2*AF7*(1+Assumptions!$P$85)^Assumptions!$P$86</f>
        <v>0</v>
      </c>
      <c r="T7" s="546">
        <f ca="1">+T$2*AG7*(1+Assumptions!$P$85)^Assumptions!$P$86</f>
        <v>0</v>
      </c>
      <c r="U7" s="546">
        <f ca="1">+U$2*AH7*(1+Assumptions!$P$85)^Assumptions!$P$86</f>
        <v>0</v>
      </c>
      <c r="V7" s="546">
        <f t="shared" ref="V7:V22" ca="1" si="21">+SUM(M7:U7)/K7</f>
        <v>184.04909133985575</v>
      </c>
      <c r="W7" s="546">
        <f t="shared" ref="W7:W22" ca="1" si="22">+SUM(M7:S7)/SUM(F7:G7)</f>
        <v>184.04909133985575</v>
      </c>
      <c r="X7" s="342"/>
      <c r="Y7" s="342"/>
      <c r="Z7" s="355">
        <f t="shared" si="9"/>
        <v>32938.777777777803</v>
      </c>
      <c r="AA7" s="355">
        <f t="shared" si="9"/>
        <v>131755.11111111121</v>
      </c>
      <c r="AB7" s="354">
        <v>25000</v>
      </c>
      <c r="AC7" s="354">
        <v>0</v>
      </c>
      <c r="AD7" s="354">
        <v>0</v>
      </c>
      <c r="AE7" s="354">
        <v>235710.11111111101</v>
      </c>
      <c r="AF7" s="354">
        <v>0</v>
      </c>
      <c r="AG7" s="354">
        <f t="shared" si="10"/>
        <v>0</v>
      </c>
      <c r="AH7" s="354">
        <v>0</v>
      </c>
      <c r="AI7" s="368">
        <f t="shared" si="11"/>
        <v>0</v>
      </c>
      <c r="AJ7" s="207"/>
      <c r="AK7" s="359">
        <v>0.85</v>
      </c>
      <c r="AL7" s="362"/>
      <c r="AM7" s="364">
        <f t="shared" si="12"/>
        <v>0.88064264923591595</v>
      </c>
      <c r="AN7" s="362"/>
      <c r="AO7" s="360">
        <f t="shared" ref="AO7:AO10" si="23">+SUM(AP7:AX7)</f>
        <v>374628.9055555556</v>
      </c>
      <c r="AP7" s="355">
        <f t="shared" si="13"/>
        <v>27997.96111111113</v>
      </c>
      <c r="AQ7" s="355">
        <f t="shared" si="14"/>
        <v>111991.84444444452</v>
      </c>
      <c r="AR7" s="355">
        <f t="shared" ref="AR7:AR22" si="24">+AB7*0.9</f>
        <v>22500</v>
      </c>
      <c r="AS7" s="355">
        <f t="shared" si="15"/>
        <v>0</v>
      </c>
      <c r="AT7" s="355">
        <f t="shared" si="16"/>
        <v>0</v>
      </c>
      <c r="AU7" s="355">
        <f t="shared" ref="AU7:AU14" si="25">+AE7*0.9</f>
        <v>212139.09999999992</v>
      </c>
      <c r="AV7" s="355">
        <f t="shared" ref="AV7:AV22" si="26">+AF7</f>
        <v>0</v>
      </c>
      <c r="AW7" s="355">
        <f t="shared" ref="AW7:AW22" si="27">+AG7</f>
        <v>0</v>
      </c>
      <c r="AX7" s="355">
        <f t="shared" si="18"/>
        <v>0</v>
      </c>
      <c r="BA7" s="355">
        <f>IFERROR(VLOOKUP(A7,Acquisition!$C$5:$E$10,3,FALSE),0)</f>
        <v>0</v>
      </c>
    </row>
    <row r="8" spans="1:53" ht="16" customHeight="1" x14ac:dyDescent="0.35">
      <c r="A8" s="527" t="str">
        <f t="shared" si="19"/>
        <v>A3</v>
      </c>
      <c r="B8" s="344" t="s">
        <v>468</v>
      </c>
      <c r="C8" s="345" t="s">
        <v>205</v>
      </c>
      <c r="D8" s="345" t="s">
        <v>492</v>
      </c>
      <c r="E8" s="346">
        <v>53024</v>
      </c>
      <c r="F8" s="346">
        <v>76500</v>
      </c>
      <c r="G8" s="346">
        <v>0</v>
      </c>
      <c r="H8" s="346">
        <v>0</v>
      </c>
      <c r="I8" s="342"/>
      <c r="J8" s="342"/>
      <c r="K8" s="347">
        <f t="shared" si="20"/>
        <v>76500</v>
      </c>
      <c r="L8" s="342"/>
      <c r="M8" s="547">
        <f t="shared" ref="M8:U10" ca="1" si="28">+M$2*Z8</f>
        <v>0</v>
      </c>
      <c r="N8" s="547">
        <f t="shared" ca="1" si="28"/>
        <v>0</v>
      </c>
      <c r="O8" s="547">
        <f t="shared" ca="1" si="28"/>
        <v>9466875</v>
      </c>
      <c r="P8" s="547">
        <f t="shared" ca="1" si="28"/>
        <v>0</v>
      </c>
      <c r="Q8" s="547">
        <f t="shared" ca="1" si="28"/>
        <v>3155625</v>
      </c>
      <c r="R8" s="547">
        <f t="shared" ca="1" si="28"/>
        <v>0</v>
      </c>
      <c r="S8" s="547">
        <f t="shared" ca="1" si="28"/>
        <v>0</v>
      </c>
      <c r="T8" s="547">
        <f t="shared" ca="1" si="28"/>
        <v>0</v>
      </c>
      <c r="U8" s="547">
        <f t="shared" ca="1" si="28"/>
        <v>0</v>
      </c>
      <c r="V8" s="547">
        <f t="shared" ca="1" si="21"/>
        <v>165</v>
      </c>
      <c r="W8" s="547">
        <f t="shared" ca="1" si="22"/>
        <v>165</v>
      </c>
      <c r="X8" s="342"/>
      <c r="Y8" s="342"/>
      <c r="Z8" s="347">
        <f t="shared" si="9"/>
        <v>0</v>
      </c>
      <c r="AA8" s="347">
        <f t="shared" si="9"/>
        <v>0</v>
      </c>
      <c r="AB8" s="346">
        <v>57375</v>
      </c>
      <c r="AC8" s="346">
        <v>0</v>
      </c>
      <c r="AD8" s="346">
        <v>19125</v>
      </c>
      <c r="AE8" s="346">
        <v>0</v>
      </c>
      <c r="AF8" s="346">
        <v>0</v>
      </c>
      <c r="AG8" s="346">
        <f t="shared" si="10"/>
        <v>0</v>
      </c>
      <c r="AH8" s="346">
        <v>0</v>
      </c>
      <c r="AI8" s="369">
        <f t="shared" si="11"/>
        <v>0</v>
      </c>
      <c r="AJ8" s="207"/>
      <c r="AK8" s="207"/>
      <c r="AL8" s="207"/>
      <c r="AM8" s="364">
        <f t="shared" si="12"/>
        <v>0.85</v>
      </c>
      <c r="AN8" s="207"/>
      <c r="AO8" s="361">
        <f t="shared" si="23"/>
        <v>65025</v>
      </c>
      <c r="AP8" s="347">
        <f t="shared" si="13"/>
        <v>0</v>
      </c>
      <c r="AQ8" s="347">
        <f t="shared" si="14"/>
        <v>0</v>
      </c>
      <c r="AR8" s="347">
        <f>+AB8*0.8</f>
        <v>45900</v>
      </c>
      <c r="AS8" s="347">
        <f t="shared" si="15"/>
        <v>0</v>
      </c>
      <c r="AT8" s="347">
        <f>+AD8</f>
        <v>19125</v>
      </c>
      <c r="AU8" s="347">
        <f t="shared" si="25"/>
        <v>0</v>
      </c>
      <c r="AV8" s="347">
        <f t="shared" si="26"/>
        <v>0</v>
      </c>
      <c r="AW8" s="347">
        <f t="shared" si="27"/>
        <v>0</v>
      </c>
      <c r="AX8" s="347">
        <f t="shared" si="18"/>
        <v>0</v>
      </c>
      <c r="BA8" s="347">
        <f>IFERROR(VLOOKUP(A8,Acquisition!$C$5:$E$10,3,FALSE),0)+1</f>
        <v>1</v>
      </c>
    </row>
    <row r="9" spans="1:53" ht="16" customHeight="1" x14ac:dyDescent="0.35">
      <c r="A9" s="527" t="str">
        <f t="shared" si="19"/>
        <v>A4</v>
      </c>
      <c r="B9" s="344" t="s">
        <v>469</v>
      </c>
      <c r="C9" s="345" t="s">
        <v>205</v>
      </c>
      <c r="D9" s="345" t="s">
        <v>492</v>
      </c>
      <c r="E9" s="346">
        <v>53564</v>
      </c>
      <c r="F9" s="346">
        <v>185243</v>
      </c>
      <c r="G9" s="346">
        <v>229674</v>
      </c>
      <c r="H9" s="346">
        <v>0</v>
      </c>
      <c r="I9" s="342"/>
      <c r="J9" s="342"/>
      <c r="K9" s="347">
        <f t="shared" si="20"/>
        <v>414917</v>
      </c>
      <c r="L9" s="342"/>
      <c r="M9" s="547">
        <f t="shared" ca="1" si="28"/>
        <v>5618262</v>
      </c>
      <c r="N9" s="547">
        <f t="shared" ca="1" si="28"/>
        <v>23794992</v>
      </c>
      <c r="O9" s="547">
        <f t="shared" ca="1" si="28"/>
        <v>3300000</v>
      </c>
      <c r="P9" s="547">
        <f t="shared" ca="1" si="28"/>
        <v>0</v>
      </c>
      <c r="Q9" s="547">
        <f t="shared" ca="1" si="28"/>
        <v>0</v>
      </c>
      <c r="R9" s="547">
        <f t="shared" ca="1" si="28"/>
        <v>37896210</v>
      </c>
      <c r="S9" s="547">
        <f t="shared" ca="1" si="28"/>
        <v>0</v>
      </c>
      <c r="T9" s="547">
        <f t="shared" ca="1" si="28"/>
        <v>0</v>
      </c>
      <c r="U9" s="547">
        <f t="shared" ca="1" si="28"/>
        <v>0</v>
      </c>
      <c r="V9" s="547">
        <f t="shared" ca="1" si="21"/>
        <v>170.17732221143024</v>
      </c>
      <c r="W9" s="547">
        <f t="shared" ca="1" si="22"/>
        <v>170.17732221143024</v>
      </c>
      <c r="X9" s="342"/>
      <c r="Y9" s="342"/>
      <c r="Z9" s="347">
        <f t="shared" si="9"/>
        <v>33048.6</v>
      </c>
      <c r="AA9" s="347">
        <f t="shared" si="9"/>
        <v>132194.4</v>
      </c>
      <c r="AB9" s="346">
        <v>20000</v>
      </c>
      <c r="AC9" s="346">
        <v>0</v>
      </c>
      <c r="AD9" s="346">
        <v>0</v>
      </c>
      <c r="AE9" s="346">
        <v>229674</v>
      </c>
      <c r="AF9" s="346">
        <v>0</v>
      </c>
      <c r="AG9" s="346">
        <f t="shared" si="10"/>
        <v>0</v>
      </c>
      <c r="AH9" s="346">
        <v>0</v>
      </c>
      <c r="AI9" s="369">
        <f t="shared" si="11"/>
        <v>0</v>
      </c>
      <c r="AJ9" s="207"/>
      <c r="AK9" s="359">
        <v>0.85</v>
      </c>
      <c r="AL9" s="359"/>
      <c r="AM9" s="364">
        <f t="shared" si="12"/>
        <v>0.88008722226372993</v>
      </c>
      <c r="AN9" s="359"/>
      <c r="AO9" s="361">
        <f t="shared" si="23"/>
        <v>365163.15</v>
      </c>
      <c r="AP9" s="347">
        <f t="shared" si="13"/>
        <v>28091.309999999998</v>
      </c>
      <c r="AQ9" s="347">
        <f t="shared" si="14"/>
        <v>112365.23999999999</v>
      </c>
      <c r="AR9" s="347">
        <f t="shared" si="24"/>
        <v>18000</v>
      </c>
      <c r="AS9" s="347">
        <f>+AC9*0.75</f>
        <v>0</v>
      </c>
      <c r="AT9" s="347">
        <f t="shared" ref="AT9:AT22" si="29">+AD9</f>
        <v>0</v>
      </c>
      <c r="AU9" s="347">
        <f t="shared" si="25"/>
        <v>206706.6</v>
      </c>
      <c r="AV9" s="347">
        <f t="shared" si="26"/>
        <v>0</v>
      </c>
      <c r="AW9" s="347">
        <f t="shared" si="27"/>
        <v>0</v>
      </c>
      <c r="AX9" s="347">
        <f t="shared" si="18"/>
        <v>0</v>
      </c>
      <c r="BA9" s="347">
        <f>IFERROR(VLOOKUP(A9,Acquisition!$C$5:$E$10,3,FALSE),0)</f>
        <v>0</v>
      </c>
    </row>
    <row r="10" spans="1:53" ht="16" customHeight="1" x14ac:dyDescent="0.35">
      <c r="A10" s="527" t="str">
        <f>RIGHT(B10,1)</f>
        <v>B</v>
      </c>
      <c r="B10" s="344" t="s">
        <v>453</v>
      </c>
      <c r="C10" s="345" t="s">
        <v>205</v>
      </c>
      <c r="D10" s="345" t="s">
        <v>492</v>
      </c>
      <c r="E10" s="346">
        <v>51667</v>
      </c>
      <c r="F10" s="346">
        <v>146317</v>
      </c>
      <c r="G10" s="346">
        <v>241425</v>
      </c>
      <c r="H10" s="346">
        <v>33000</v>
      </c>
      <c r="I10" s="342"/>
      <c r="J10" s="342"/>
      <c r="K10" s="347">
        <f t="shared" si="20"/>
        <v>420742</v>
      </c>
      <c r="L10" s="342"/>
      <c r="M10" s="547">
        <f t="shared" ca="1" si="28"/>
        <v>4238365.1999999993</v>
      </c>
      <c r="N10" s="547">
        <f t="shared" ca="1" si="28"/>
        <v>17950723.199999999</v>
      </c>
      <c r="O10" s="547">
        <f t="shared" ca="1" si="28"/>
        <v>9075000</v>
      </c>
      <c r="P10" s="547">
        <f t="shared" ca="1" si="28"/>
        <v>38495577</v>
      </c>
      <c r="Q10" s="547">
        <f t="shared" ca="1" si="28"/>
        <v>0</v>
      </c>
      <c r="R10" s="547">
        <f t="shared" ca="1" si="28"/>
        <v>0</v>
      </c>
      <c r="S10" s="547">
        <f t="shared" ca="1" si="28"/>
        <v>0</v>
      </c>
      <c r="T10" s="547">
        <f t="shared" ca="1" si="28"/>
        <v>1650000</v>
      </c>
      <c r="U10" s="547">
        <f t="shared" ca="1" si="28"/>
        <v>0</v>
      </c>
      <c r="V10" s="547">
        <f t="shared" ca="1" si="21"/>
        <v>169.72316859262924</v>
      </c>
      <c r="W10" s="547">
        <f t="shared" ca="1" si="22"/>
        <v>179.91258465680789</v>
      </c>
      <c r="X10" s="342"/>
      <c r="Y10" s="342"/>
      <c r="Z10" s="347">
        <f t="shared" si="9"/>
        <v>24931.559999999998</v>
      </c>
      <c r="AA10" s="347">
        <f t="shared" si="9"/>
        <v>99726.239999999991</v>
      </c>
      <c r="AB10" s="346">
        <v>55000</v>
      </c>
      <c r="AC10" s="346">
        <v>208084.2</v>
      </c>
      <c r="AD10" s="346">
        <v>0</v>
      </c>
      <c r="AE10" s="346">
        <v>0</v>
      </c>
      <c r="AF10" s="346">
        <v>0</v>
      </c>
      <c r="AG10" s="346">
        <f t="shared" si="10"/>
        <v>33000</v>
      </c>
      <c r="AH10" s="346">
        <v>0</v>
      </c>
      <c r="AI10" s="369">
        <f t="shared" si="11"/>
        <v>0</v>
      </c>
      <c r="AJ10" s="207"/>
      <c r="AK10" s="359">
        <v>0.87151446357233397</v>
      </c>
      <c r="AL10" s="359"/>
      <c r="AM10" s="364">
        <f t="shared" si="12"/>
        <v>0.81034354209012005</v>
      </c>
      <c r="AN10" s="359"/>
      <c r="AO10" s="361">
        <f t="shared" si="23"/>
        <v>347204.22569710732</v>
      </c>
      <c r="AP10" s="347">
        <f t="shared" si="13"/>
        <v>21728.215139421456</v>
      </c>
      <c r="AQ10" s="347">
        <f t="shared" si="14"/>
        <v>86912.860557685824</v>
      </c>
      <c r="AR10" s="347">
        <f t="shared" si="24"/>
        <v>49500</v>
      </c>
      <c r="AS10" s="347">
        <f>+AC10*0.75</f>
        <v>156063.15000000002</v>
      </c>
      <c r="AT10" s="347">
        <f t="shared" si="29"/>
        <v>0</v>
      </c>
      <c r="AU10" s="347">
        <f t="shared" si="25"/>
        <v>0</v>
      </c>
      <c r="AV10" s="347">
        <f t="shared" si="26"/>
        <v>0</v>
      </c>
      <c r="AW10" s="347">
        <f t="shared" si="27"/>
        <v>33000</v>
      </c>
      <c r="AX10" s="347">
        <f t="shared" si="18"/>
        <v>0</v>
      </c>
      <c r="BA10" s="347">
        <f>IFERROR(VLOOKUP(A10,Acquisition!$C$5:$E$10,3,FALSE),0)</f>
        <v>0</v>
      </c>
    </row>
    <row r="11" spans="1:53" ht="16" customHeight="1" x14ac:dyDescent="0.35">
      <c r="A11" s="527" t="str">
        <f t="shared" ref="A11:A22" si="30">RIGHT(B11,1)</f>
        <v>C</v>
      </c>
      <c r="B11" s="348" t="s">
        <v>454</v>
      </c>
      <c r="C11" s="349" t="s">
        <v>243</v>
      </c>
      <c r="D11" s="349" t="s">
        <v>492</v>
      </c>
      <c r="E11" s="350">
        <v>98792</v>
      </c>
      <c r="F11" s="350">
        <v>176773</v>
      </c>
      <c r="G11" s="350">
        <v>170720</v>
      </c>
      <c r="H11" s="350">
        <v>60000</v>
      </c>
      <c r="I11" s="342"/>
      <c r="J11" s="342"/>
      <c r="K11" s="351">
        <f t="shared" si="20"/>
        <v>407493</v>
      </c>
      <c r="L11" s="342"/>
      <c r="M11" s="548">
        <f ca="1">+M$2*Z11*(1+Assumptions!$O$85)^Assumptions!$O$86</f>
        <v>11584606.384800002</v>
      </c>
      <c r="N11" s="548">
        <f ca="1">+N$2*AA11*(1+Assumptions!$O$85)^Assumptions!$O$86</f>
        <v>49064215.276800007</v>
      </c>
      <c r="O11" s="548">
        <f ca="1">+O$2*AB11*(1+Assumptions!$O$85)^Assumptions!$O$86</f>
        <v>3433320</v>
      </c>
      <c r="P11" s="548">
        <f ca="1">+P$2*AC11*(1+Assumptions!$O$85)^Assumptions!$O$86</f>
        <v>0</v>
      </c>
      <c r="Q11" s="548">
        <f ca="1">+Q$2*AD11*(1+Assumptions!$O$85)^Assumptions!$O$86</f>
        <v>0</v>
      </c>
      <c r="R11" s="548">
        <f ca="1">+R$2*AE11*(1+Assumptions!$O$85)^Assumptions!$O$86</f>
        <v>0</v>
      </c>
      <c r="S11" s="548">
        <f ca="1">+S$2*AF11*(1+Assumptions!$O$85)^Assumptions!$O$86</f>
        <v>0</v>
      </c>
      <c r="T11" s="548">
        <f ca="1">+T$2*AG11*(1+Assumptions!$O$85)^Assumptions!$O$86</f>
        <v>3121200</v>
      </c>
      <c r="U11" s="548">
        <f ca="1">+U$2*AH11*(1+Assumptions!$O$85)^Assumptions!$O$86</f>
        <v>0</v>
      </c>
      <c r="V11" s="548">
        <f t="shared" ca="1" si="21"/>
        <v>164.91900882125586</v>
      </c>
      <c r="W11" s="548">
        <f t="shared" ca="1" si="22"/>
        <v>184.41275554212606</v>
      </c>
      <c r="X11" s="342"/>
      <c r="Y11" s="342"/>
      <c r="Z11" s="351">
        <f t="shared" si="9"/>
        <v>65498.600000000006</v>
      </c>
      <c r="AA11" s="351">
        <f t="shared" si="9"/>
        <v>261994.40000000002</v>
      </c>
      <c r="AB11" s="350">
        <v>20000</v>
      </c>
      <c r="AC11" s="350">
        <v>0</v>
      </c>
      <c r="AD11" s="350">
        <v>0</v>
      </c>
      <c r="AE11" s="350">
        <v>0</v>
      </c>
      <c r="AF11" s="350">
        <v>0</v>
      </c>
      <c r="AG11" s="350">
        <f t="shared" si="10"/>
        <v>60000</v>
      </c>
      <c r="AH11" s="350">
        <v>0</v>
      </c>
      <c r="AI11" s="370">
        <f t="shared" si="11"/>
        <v>0</v>
      </c>
      <c r="AJ11" s="207"/>
      <c r="AK11" s="359">
        <v>0.83991535696946196</v>
      </c>
      <c r="AL11" s="359"/>
      <c r="AM11" s="364">
        <f t="shared" si="12"/>
        <v>0.84337353558201178</v>
      </c>
      <c r="AN11" s="207"/>
      <c r="AO11" s="365">
        <f t="shared" ref="AO11:AO23" si="31">+SUM(AP11:AX11)</f>
        <v>353066.4</v>
      </c>
      <c r="AP11" s="351">
        <f t="shared" si="13"/>
        <v>55013.280000000006</v>
      </c>
      <c r="AQ11" s="351">
        <f t="shared" si="14"/>
        <v>220053.12000000002</v>
      </c>
      <c r="AR11" s="351">
        <f t="shared" si="24"/>
        <v>18000</v>
      </c>
      <c r="AS11" s="351">
        <f>+AC11*0.75</f>
        <v>0</v>
      </c>
      <c r="AT11" s="351">
        <f t="shared" si="29"/>
        <v>0</v>
      </c>
      <c r="AU11" s="351">
        <f t="shared" si="25"/>
        <v>0</v>
      </c>
      <c r="AV11" s="351">
        <f t="shared" si="26"/>
        <v>0</v>
      </c>
      <c r="AW11" s="351">
        <f t="shared" si="27"/>
        <v>60000</v>
      </c>
      <c r="AX11" s="351">
        <f t="shared" si="18"/>
        <v>0</v>
      </c>
      <c r="BA11" s="351">
        <f>IFERROR(VLOOKUP(A11,Acquisition!$C$5:$E$10,3,FALSE),0)+1</f>
        <v>1</v>
      </c>
    </row>
    <row r="12" spans="1:53" ht="16" customHeight="1" x14ac:dyDescent="0.35">
      <c r="A12" s="527" t="str">
        <f t="shared" si="30"/>
        <v>D</v>
      </c>
      <c r="B12" s="348" t="s">
        <v>455</v>
      </c>
      <c r="C12" s="349" t="s">
        <v>243</v>
      </c>
      <c r="D12" s="349" t="s">
        <v>492</v>
      </c>
      <c r="E12" s="350">
        <v>33780</v>
      </c>
      <c r="F12" s="350">
        <v>96434</v>
      </c>
      <c r="G12" s="350">
        <v>48000</v>
      </c>
      <c r="H12" s="350">
        <v>46000</v>
      </c>
      <c r="I12" s="342"/>
      <c r="J12" s="342"/>
      <c r="K12" s="351">
        <f t="shared" si="20"/>
        <v>190434</v>
      </c>
      <c r="L12" s="342"/>
      <c r="M12" s="548">
        <f ca="1">+M$2*Z12*(1+Assumptions!$O$85)^Assumptions!$O$86</f>
        <v>0</v>
      </c>
      <c r="N12" s="548">
        <f ca="1">+N$2*AA12*(1+Assumptions!$O$85)^Assumptions!$O$86</f>
        <v>0</v>
      </c>
      <c r="O12" s="548">
        <f ca="1">+O$2*AB12*(1+Assumptions!$O$85)^Assumptions!$O$86</f>
        <v>2746656</v>
      </c>
      <c r="P12" s="548">
        <f ca="1">+P$2*AC12*(1+Assumptions!$O$85)^Assumptions!$O$86</f>
        <v>24720205.715999998</v>
      </c>
      <c r="Q12" s="548">
        <f ca="1">+Q$2*AD12*(1+Assumptions!$O$85)^Assumptions!$O$86</f>
        <v>0</v>
      </c>
      <c r="R12" s="548">
        <f ca="1">+R$2*AE12*(1+Assumptions!$O$85)^Assumptions!$O$86</f>
        <v>0</v>
      </c>
      <c r="S12" s="548">
        <f ca="1">+S$2*AF12*(1+Assumptions!$O$85)^Assumptions!$O$86</f>
        <v>0</v>
      </c>
      <c r="T12" s="548">
        <f ca="1">+T$2*AG12*(1+Assumptions!$O$85)^Assumptions!$O$86</f>
        <v>2392920</v>
      </c>
      <c r="U12" s="548">
        <f ca="1">+U$2*AH12*(1+Assumptions!$O$85)^Assumptions!$O$86</f>
        <v>0</v>
      </c>
      <c r="V12" s="548">
        <f t="shared" ca="1" si="21"/>
        <v>156.79858489555434</v>
      </c>
      <c r="W12" s="548">
        <f t="shared" ca="1" si="22"/>
        <v>190.16894717310328</v>
      </c>
      <c r="X12" s="342"/>
      <c r="Y12" s="342"/>
      <c r="Z12" s="351">
        <f t="shared" si="9"/>
        <v>0</v>
      </c>
      <c r="AA12" s="351">
        <f t="shared" si="9"/>
        <v>0</v>
      </c>
      <c r="AB12" s="350">
        <v>16000</v>
      </c>
      <c r="AC12" s="350">
        <v>128434</v>
      </c>
      <c r="AD12" s="350">
        <v>0</v>
      </c>
      <c r="AE12" s="350">
        <v>0</v>
      </c>
      <c r="AF12" s="350">
        <v>0</v>
      </c>
      <c r="AG12" s="350">
        <f t="shared" si="10"/>
        <v>46000</v>
      </c>
      <c r="AH12" s="350">
        <v>0</v>
      </c>
      <c r="AI12" s="370">
        <f t="shared" si="11"/>
        <v>0</v>
      </c>
      <c r="AJ12" s="207"/>
      <c r="AK12" s="359"/>
      <c r="AL12" s="359">
        <v>0.81245776040612305</v>
      </c>
      <c r="AM12" s="364">
        <f t="shared" si="12"/>
        <v>0.82215544816317498</v>
      </c>
      <c r="AN12" s="207"/>
      <c r="AO12" s="365">
        <f t="shared" si="31"/>
        <v>164747.20000000001</v>
      </c>
      <c r="AP12" s="351">
        <f t="shared" si="13"/>
        <v>0</v>
      </c>
      <c r="AQ12" s="351">
        <f t="shared" si="14"/>
        <v>0</v>
      </c>
      <c r="AR12" s="351">
        <f t="shared" si="24"/>
        <v>14400</v>
      </c>
      <c r="AS12" s="351">
        <f>+AC12*AL12</f>
        <v>104347.20000000001</v>
      </c>
      <c r="AT12" s="351">
        <f t="shared" si="29"/>
        <v>0</v>
      </c>
      <c r="AU12" s="351">
        <f t="shared" si="25"/>
        <v>0</v>
      </c>
      <c r="AV12" s="351">
        <f t="shared" si="26"/>
        <v>0</v>
      </c>
      <c r="AW12" s="351">
        <f t="shared" si="27"/>
        <v>46000</v>
      </c>
      <c r="AX12" s="351">
        <f t="shared" si="18"/>
        <v>0</v>
      </c>
      <c r="BA12" s="351">
        <f>IFERROR(VLOOKUP(A12,Acquisition!$C$5:$E$10,3,FALSE),0)</f>
        <v>0</v>
      </c>
    </row>
    <row r="13" spans="1:53" ht="16" customHeight="1" x14ac:dyDescent="0.35">
      <c r="A13" s="527" t="str">
        <f t="shared" si="30"/>
        <v>E</v>
      </c>
      <c r="B13" s="348" t="s">
        <v>456</v>
      </c>
      <c r="C13" s="349" t="s">
        <v>243</v>
      </c>
      <c r="D13" s="349" t="s">
        <v>492</v>
      </c>
      <c r="E13" s="350">
        <v>65410</v>
      </c>
      <c r="F13" s="350">
        <v>172794</v>
      </c>
      <c r="G13" s="350">
        <v>125278</v>
      </c>
      <c r="H13" s="350">
        <v>0</v>
      </c>
      <c r="I13" s="342"/>
      <c r="J13" s="342"/>
      <c r="K13" s="351">
        <f t="shared" si="20"/>
        <v>298072</v>
      </c>
      <c r="L13" s="342"/>
      <c r="M13" s="548">
        <f ca="1">+M$2*Z13*(1+Assumptions!$O$85)^Assumptions!$O$86</f>
        <v>4355975.8512000004</v>
      </c>
      <c r="N13" s="548">
        <f ca="1">+N$2*AA13*(1+Assumptions!$O$85)^Assumptions!$O$86</f>
        <v>18448838.8992</v>
      </c>
      <c r="O13" s="548">
        <f ca="1">+O$2*AB13*(1+Assumptions!$O$85)^Assumptions!$O$86</f>
        <v>4291650</v>
      </c>
      <c r="P13" s="548">
        <f ca="1">+P$2*AC13*(1+Assumptions!$O$85)^Assumptions!$O$86</f>
        <v>0</v>
      </c>
      <c r="Q13" s="548">
        <f ca="1">+Q$2*AD13*(1+Assumptions!$O$85)^Assumptions!$O$86</f>
        <v>0</v>
      </c>
      <c r="R13" s="548">
        <f ca="1">+R$2*AE13*(1+Assumptions!$O$85)^Assumptions!$O$86</f>
        <v>25737883.379999999</v>
      </c>
      <c r="S13" s="548">
        <f ca="1">+S$2*AF13*(1+Assumptions!$O$85)^Assumptions!$O$86</f>
        <v>0</v>
      </c>
      <c r="T13" s="548">
        <f ca="1">+T$2*AG13*(1+Assumptions!$O$85)^Assumptions!$O$86</f>
        <v>0</v>
      </c>
      <c r="U13" s="548">
        <f ca="1">+U$2*AH13*(1+Assumptions!$O$85)^Assumptions!$O$86</f>
        <v>0</v>
      </c>
      <c r="V13" s="548">
        <f t="shared" ca="1" si="21"/>
        <v>177.25364385249202</v>
      </c>
      <c r="W13" s="548">
        <f t="shared" ca="1" si="22"/>
        <v>177.25364385249202</v>
      </c>
      <c r="X13" s="342"/>
      <c r="Y13" s="342"/>
      <c r="Z13" s="351">
        <f t="shared" si="9"/>
        <v>24628.400000000001</v>
      </c>
      <c r="AA13" s="351">
        <f t="shared" si="9"/>
        <v>98513.600000000006</v>
      </c>
      <c r="AB13" s="350">
        <v>25000</v>
      </c>
      <c r="AC13" s="350">
        <v>0</v>
      </c>
      <c r="AD13" s="350">
        <v>0</v>
      </c>
      <c r="AE13" s="350">
        <v>149930</v>
      </c>
      <c r="AF13" s="350">
        <v>0</v>
      </c>
      <c r="AG13" s="350">
        <f t="shared" si="10"/>
        <v>0</v>
      </c>
      <c r="AH13" s="350">
        <v>0</v>
      </c>
      <c r="AI13" s="370">
        <f t="shared" si="11"/>
        <v>0</v>
      </c>
      <c r="AJ13" s="207"/>
      <c r="AK13" s="359">
        <v>0.85</v>
      </c>
      <c r="AL13" s="207"/>
      <c r="AM13" s="364">
        <f t="shared" si="12"/>
        <v>0.87934358141657054</v>
      </c>
      <c r="AN13" s="207"/>
      <c r="AO13" s="365">
        <f t="shared" si="31"/>
        <v>262107.7</v>
      </c>
      <c r="AP13" s="351">
        <f t="shared" si="13"/>
        <v>20934.14</v>
      </c>
      <c r="AQ13" s="351">
        <f t="shared" si="14"/>
        <v>83736.56</v>
      </c>
      <c r="AR13" s="351">
        <f t="shared" si="24"/>
        <v>22500</v>
      </c>
      <c r="AS13" s="351">
        <f t="shared" ref="AS13:AS22" si="32">+AC13*0.75</f>
        <v>0</v>
      </c>
      <c r="AT13" s="351">
        <f t="shared" si="29"/>
        <v>0</v>
      </c>
      <c r="AU13" s="351">
        <f t="shared" si="25"/>
        <v>134937</v>
      </c>
      <c r="AV13" s="351">
        <f t="shared" si="26"/>
        <v>0</v>
      </c>
      <c r="AW13" s="351">
        <f t="shared" si="27"/>
        <v>0</v>
      </c>
      <c r="AX13" s="351">
        <f t="shared" si="18"/>
        <v>0</v>
      </c>
      <c r="BA13" s="351">
        <f>IFERROR(VLOOKUP(A13,Acquisition!$C$5:$E$10,3,FALSE),0)</f>
        <v>0</v>
      </c>
    </row>
    <row r="14" spans="1:53" ht="16" customHeight="1" x14ac:dyDescent="0.35">
      <c r="A14" s="527" t="str">
        <f t="shared" si="30"/>
        <v>F</v>
      </c>
      <c r="B14" s="344" t="s">
        <v>457</v>
      </c>
      <c r="C14" s="345" t="s">
        <v>205</v>
      </c>
      <c r="D14" s="345" t="s">
        <v>492</v>
      </c>
      <c r="E14" s="346">
        <v>65378</v>
      </c>
      <c r="F14" s="346">
        <v>75000</v>
      </c>
      <c r="G14" s="346">
        <v>0</v>
      </c>
      <c r="H14" s="346">
        <v>0</v>
      </c>
      <c r="I14" s="342"/>
      <c r="J14" s="342"/>
      <c r="K14" s="347">
        <f t="shared" si="20"/>
        <v>75000</v>
      </c>
      <c r="L14" s="342"/>
      <c r="M14" s="547">
        <f t="shared" ref="M14:U15" ca="1" si="33">+M$2*Z14</f>
        <v>0</v>
      </c>
      <c r="N14" s="547">
        <f t="shared" ca="1" si="33"/>
        <v>0</v>
      </c>
      <c r="O14" s="547">
        <f t="shared" ca="1" si="33"/>
        <v>2475000</v>
      </c>
      <c r="P14" s="547">
        <f t="shared" ca="1" si="33"/>
        <v>0</v>
      </c>
      <c r="Q14" s="547">
        <f t="shared" ca="1" si="33"/>
        <v>9900000</v>
      </c>
      <c r="R14" s="547">
        <f t="shared" ca="1" si="33"/>
        <v>0</v>
      </c>
      <c r="S14" s="547">
        <f t="shared" ca="1" si="33"/>
        <v>0</v>
      </c>
      <c r="T14" s="547">
        <f t="shared" ca="1" si="33"/>
        <v>0</v>
      </c>
      <c r="U14" s="547">
        <f t="shared" ca="1" si="33"/>
        <v>0</v>
      </c>
      <c r="V14" s="547">
        <f t="shared" ca="1" si="21"/>
        <v>165</v>
      </c>
      <c r="W14" s="547">
        <f t="shared" ca="1" si="22"/>
        <v>165</v>
      </c>
      <c r="X14" s="342"/>
      <c r="Y14" s="342"/>
      <c r="Z14" s="347">
        <f t="shared" si="9"/>
        <v>0</v>
      </c>
      <c r="AA14" s="347">
        <f t="shared" si="9"/>
        <v>0</v>
      </c>
      <c r="AB14" s="346">
        <v>15000</v>
      </c>
      <c r="AC14" s="346">
        <v>0</v>
      </c>
      <c r="AD14" s="346">
        <v>60000</v>
      </c>
      <c r="AE14" s="346">
        <v>0</v>
      </c>
      <c r="AF14" s="346">
        <v>0</v>
      </c>
      <c r="AG14" s="346">
        <f t="shared" si="10"/>
        <v>0</v>
      </c>
      <c r="AH14" s="346">
        <v>0</v>
      </c>
      <c r="AI14" s="369">
        <f t="shared" si="11"/>
        <v>0</v>
      </c>
      <c r="AJ14" s="207"/>
      <c r="AK14" s="207"/>
      <c r="AL14" s="207"/>
      <c r="AM14" s="364">
        <f t="shared" si="12"/>
        <v>0.98</v>
      </c>
      <c r="AN14" s="207"/>
      <c r="AO14" s="361">
        <f t="shared" si="31"/>
        <v>73500</v>
      </c>
      <c r="AP14" s="347">
        <f t="shared" si="13"/>
        <v>0</v>
      </c>
      <c r="AQ14" s="347">
        <f t="shared" si="14"/>
        <v>0</v>
      </c>
      <c r="AR14" s="347">
        <f t="shared" si="24"/>
        <v>13500</v>
      </c>
      <c r="AS14" s="347">
        <f t="shared" si="32"/>
        <v>0</v>
      </c>
      <c r="AT14" s="347">
        <f t="shared" si="29"/>
        <v>60000</v>
      </c>
      <c r="AU14" s="347">
        <f t="shared" si="25"/>
        <v>0</v>
      </c>
      <c r="AV14" s="347">
        <f t="shared" si="26"/>
        <v>0</v>
      </c>
      <c r="AW14" s="347">
        <f t="shared" si="27"/>
        <v>0</v>
      </c>
      <c r="AX14" s="347">
        <f t="shared" si="18"/>
        <v>0</v>
      </c>
      <c r="BA14" s="347">
        <f>IFERROR(VLOOKUP(A14,Acquisition!$C$5:$E$10,3,FALSE),0)</f>
        <v>0</v>
      </c>
    </row>
    <row r="15" spans="1:53" ht="16" customHeight="1" x14ac:dyDescent="0.35">
      <c r="A15" s="527" t="str">
        <f t="shared" si="30"/>
        <v>G</v>
      </c>
      <c r="B15" s="344" t="s">
        <v>458</v>
      </c>
      <c r="C15" s="345" t="s">
        <v>205</v>
      </c>
      <c r="D15" s="345" t="s">
        <v>492</v>
      </c>
      <c r="E15" s="346">
        <v>25388</v>
      </c>
      <c r="F15" s="346">
        <v>0</v>
      </c>
      <c r="G15" s="346">
        <v>237958</v>
      </c>
      <c r="H15" s="346">
        <v>0</v>
      </c>
      <c r="I15" s="342"/>
      <c r="J15" s="342"/>
      <c r="K15" s="347">
        <f t="shared" si="20"/>
        <v>237958</v>
      </c>
      <c r="L15" s="342"/>
      <c r="M15" s="547">
        <f t="shared" ca="1" si="33"/>
        <v>0</v>
      </c>
      <c r="N15" s="547">
        <f t="shared" ca="1" si="33"/>
        <v>0</v>
      </c>
      <c r="O15" s="547">
        <f t="shared" ca="1" si="33"/>
        <v>1980000</v>
      </c>
      <c r="P15" s="547">
        <f t="shared" ca="1" si="33"/>
        <v>0</v>
      </c>
      <c r="Q15" s="547">
        <f t="shared" ca="1" si="33"/>
        <v>0</v>
      </c>
      <c r="R15" s="547">
        <f t="shared" ca="1" si="33"/>
        <v>37283070</v>
      </c>
      <c r="S15" s="547">
        <f t="shared" ca="1" si="33"/>
        <v>0</v>
      </c>
      <c r="T15" s="547">
        <f t="shared" ca="1" si="33"/>
        <v>0</v>
      </c>
      <c r="U15" s="547">
        <f t="shared" ca="1" si="33"/>
        <v>0</v>
      </c>
      <c r="V15" s="547">
        <f t="shared" ca="1" si="21"/>
        <v>165</v>
      </c>
      <c r="W15" s="547">
        <f t="shared" ca="1" si="22"/>
        <v>165</v>
      </c>
      <c r="X15" s="342"/>
      <c r="Y15" s="342"/>
      <c r="Z15" s="347">
        <f t="shared" si="9"/>
        <v>0</v>
      </c>
      <c r="AA15" s="347">
        <f t="shared" si="9"/>
        <v>0</v>
      </c>
      <c r="AB15" s="346">
        <v>12000</v>
      </c>
      <c r="AC15" s="346">
        <v>0</v>
      </c>
      <c r="AD15" s="346">
        <v>0</v>
      </c>
      <c r="AE15" s="346">
        <v>225958</v>
      </c>
      <c r="AF15" s="346">
        <v>0</v>
      </c>
      <c r="AG15" s="346">
        <f t="shared" si="10"/>
        <v>0</v>
      </c>
      <c r="AH15" s="346">
        <v>0</v>
      </c>
      <c r="AI15" s="369">
        <f t="shared" si="11"/>
        <v>0</v>
      </c>
      <c r="AJ15" s="207"/>
      <c r="AK15" s="207"/>
      <c r="AL15" s="207"/>
      <c r="AM15" s="364">
        <f t="shared" si="12"/>
        <v>0.9</v>
      </c>
      <c r="AN15" s="207"/>
      <c r="AO15" s="361">
        <f t="shared" si="31"/>
        <v>214162.2</v>
      </c>
      <c r="AP15" s="347">
        <f t="shared" si="13"/>
        <v>0</v>
      </c>
      <c r="AQ15" s="347">
        <f t="shared" si="14"/>
        <v>0</v>
      </c>
      <c r="AR15" s="347">
        <f t="shared" si="24"/>
        <v>10800</v>
      </c>
      <c r="AS15" s="347">
        <f t="shared" si="32"/>
        <v>0</v>
      </c>
      <c r="AT15" s="347">
        <f t="shared" si="29"/>
        <v>0</v>
      </c>
      <c r="AU15" s="347">
        <f>+AE15*0.9</f>
        <v>203362.2</v>
      </c>
      <c r="AV15" s="347">
        <f t="shared" si="26"/>
        <v>0</v>
      </c>
      <c r="AW15" s="347">
        <f t="shared" si="27"/>
        <v>0</v>
      </c>
      <c r="AX15" s="347">
        <f t="shared" si="18"/>
        <v>0</v>
      </c>
      <c r="BA15" s="347">
        <f>IFERROR(VLOOKUP(A15,Acquisition!$C$5:$E$10,3,FALSE),0)</f>
        <v>0</v>
      </c>
    </row>
    <row r="16" spans="1:53" ht="16" customHeight="1" x14ac:dyDescent="0.35">
      <c r="A16" s="527" t="str">
        <f t="shared" si="30"/>
        <v>H</v>
      </c>
      <c r="B16" s="348" t="s">
        <v>459</v>
      </c>
      <c r="C16" s="349" t="s">
        <v>243</v>
      </c>
      <c r="D16" s="349" t="s">
        <v>494</v>
      </c>
      <c r="E16" s="350">
        <v>84035</v>
      </c>
      <c r="F16" s="350">
        <v>45000</v>
      </c>
      <c r="G16" s="350">
        <v>0</v>
      </c>
      <c r="H16" s="350">
        <v>0</v>
      </c>
      <c r="I16" s="342"/>
      <c r="J16" s="342"/>
      <c r="K16" s="351">
        <f t="shared" si="20"/>
        <v>45000</v>
      </c>
      <c r="L16" s="342"/>
      <c r="M16" s="548">
        <f ca="1">+M$2*Z16*(1+Assumptions!$O$85)^Assumptions!$O$86</f>
        <v>0</v>
      </c>
      <c r="N16" s="548">
        <f ca="1">+N$2*AA16*(1+Assumptions!$O$85)^Assumptions!$O$86</f>
        <v>0</v>
      </c>
      <c r="O16" s="548">
        <f ca="1">+O$2*AB16*(1+Assumptions!$O$85)^Assumptions!$O$86</f>
        <v>7724970</v>
      </c>
      <c r="P16" s="548">
        <f ca="1">+P$2*AC16*(1+Assumptions!$O$85)^Assumptions!$O$86</f>
        <v>0</v>
      </c>
      <c r="Q16" s="548">
        <f ca="1">+Q$2*AD16*(1+Assumptions!$O$85)^Assumptions!$O$86</f>
        <v>0</v>
      </c>
      <c r="R16" s="548">
        <f ca="1">+R$2*AE16*(1+Assumptions!$O$85)^Assumptions!$O$86</f>
        <v>0</v>
      </c>
      <c r="S16" s="548">
        <f ca="1">+S$2*AF16*(1+Assumptions!$O$85)^Assumptions!$O$86</f>
        <v>0</v>
      </c>
      <c r="T16" s="548">
        <f ca="1">+T$2*AG16*(1+Assumptions!$O$85)^Assumptions!$O$86</f>
        <v>0</v>
      </c>
      <c r="U16" s="548">
        <f ca="1">+U$2*AH16*(1+Assumptions!$O$85)^Assumptions!$O$86</f>
        <v>0</v>
      </c>
      <c r="V16" s="548">
        <f t="shared" ca="1" si="21"/>
        <v>171.666</v>
      </c>
      <c r="W16" s="548">
        <f t="shared" ca="1" si="22"/>
        <v>171.666</v>
      </c>
      <c r="X16" s="342"/>
      <c r="Y16" s="342"/>
      <c r="Z16" s="351">
        <f t="shared" si="9"/>
        <v>0</v>
      </c>
      <c r="AA16" s="351">
        <f t="shared" si="9"/>
        <v>0</v>
      </c>
      <c r="AB16" s="350">
        <v>45000</v>
      </c>
      <c r="AC16" s="350">
        <v>0</v>
      </c>
      <c r="AD16" s="350">
        <v>0</v>
      </c>
      <c r="AE16" s="350">
        <v>0</v>
      </c>
      <c r="AF16" s="350">
        <v>0</v>
      </c>
      <c r="AG16" s="350">
        <f t="shared" si="10"/>
        <v>0</v>
      </c>
      <c r="AH16" s="350">
        <v>0</v>
      </c>
      <c r="AI16" s="370">
        <f t="shared" si="11"/>
        <v>0</v>
      </c>
      <c r="AJ16" s="207"/>
      <c r="AK16" s="207"/>
      <c r="AL16" s="207"/>
      <c r="AM16" s="364">
        <f t="shared" si="12"/>
        <v>0.9</v>
      </c>
      <c r="AN16" s="207"/>
      <c r="AO16" s="365">
        <f t="shared" si="31"/>
        <v>40500</v>
      </c>
      <c r="AP16" s="351">
        <f t="shared" si="13"/>
        <v>0</v>
      </c>
      <c r="AQ16" s="351">
        <f t="shared" si="14"/>
        <v>0</v>
      </c>
      <c r="AR16" s="351">
        <f t="shared" si="24"/>
        <v>40500</v>
      </c>
      <c r="AS16" s="351">
        <f t="shared" si="32"/>
        <v>0</v>
      </c>
      <c r="AT16" s="351">
        <f t="shared" si="29"/>
        <v>0</v>
      </c>
      <c r="AU16" s="351">
        <f t="shared" ref="AU16:AU21" si="34">+AE16*0.9</f>
        <v>0</v>
      </c>
      <c r="AV16" s="351">
        <f t="shared" si="26"/>
        <v>0</v>
      </c>
      <c r="AW16" s="351">
        <f t="shared" si="27"/>
        <v>0</v>
      </c>
      <c r="AX16" s="351">
        <f t="shared" si="18"/>
        <v>0</v>
      </c>
      <c r="BA16" s="351">
        <f>IFERROR(VLOOKUP(A16,Acquisition!$C$5:$E$10,3,FALSE),0)</f>
        <v>140400</v>
      </c>
    </row>
    <row r="17" spans="1:53" ht="16" customHeight="1" x14ac:dyDescent="0.35">
      <c r="A17" s="527" t="str">
        <f t="shared" si="30"/>
        <v>I</v>
      </c>
      <c r="B17" s="348" t="s">
        <v>460</v>
      </c>
      <c r="C17" s="349" t="s">
        <v>243</v>
      </c>
      <c r="D17" s="349" t="s">
        <v>494</v>
      </c>
      <c r="E17" s="350">
        <v>103562</v>
      </c>
      <c r="F17" s="350">
        <v>18000</v>
      </c>
      <c r="G17" s="350">
        <v>0</v>
      </c>
      <c r="H17" s="350">
        <v>0</v>
      </c>
      <c r="I17" s="342"/>
      <c r="J17" s="342"/>
      <c r="K17" s="351">
        <f t="shared" si="20"/>
        <v>18000</v>
      </c>
      <c r="L17" s="342"/>
      <c r="M17" s="548">
        <f ca="1">+M$2*Z17*(1+Assumptions!$O$85)^Assumptions!$O$86</f>
        <v>0</v>
      </c>
      <c r="N17" s="548">
        <f ca="1">+N$2*AA17*(1+Assumptions!$O$85)^Assumptions!$O$86</f>
        <v>0</v>
      </c>
      <c r="O17" s="548">
        <f ca="1">+O$2*AB17*(1+Assumptions!$O$85)^Assumptions!$O$86</f>
        <v>3089988</v>
      </c>
      <c r="P17" s="548">
        <f ca="1">+P$2*AC17*(1+Assumptions!$O$85)^Assumptions!$O$86</f>
        <v>0</v>
      </c>
      <c r="Q17" s="548">
        <f ca="1">+Q$2*AD17*(1+Assumptions!$O$85)^Assumptions!$O$86</f>
        <v>0</v>
      </c>
      <c r="R17" s="548">
        <f ca="1">+R$2*AE17*(1+Assumptions!$O$85)^Assumptions!$O$86</f>
        <v>0</v>
      </c>
      <c r="S17" s="548">
        <f ca="1">+S$2*AF17*(1+Assumptions!$O$85)^Assumptions!$O$86</f>
        <v>0</v>
      </c>
      <c r="T17" s="548">
        <f ca="1">+T$2*AG17*(1+Assumptions!$O$85)^Assumptions!$O$86</f>
        <v>0</v>
      </c>
      <c r="U17" s="548">
        <f ca="1">+U$2*AH17*(1+Assumptions!$O$85)^Assumptions!$O$86</f>
        <v>0</v>
      </c>
      <c r="V17" s="548">
        <f t="shared" ca="1" si="21"/>
        <v>171.666</v>
      </c>
      <c r="W17" s="548">
        <f t="shared" ca="1" si="22"/>
        <v>171.666</v>
      </c>
      <c r="X17" s="342"/>
      <c r="Y17" s="342"/>
      <c r="Z17" s="351">
        <f t="shared" si="9"/>
        <v>0</v>
      </c>
      <c r="AA17" s="351">
        <f t="shared" si="9"/>
        <v>0</v>
      </c>
      <c r="AB17" s="350">
        <v>18000</v>
      </c>
      <c r="AC17" s="350">
        <v>0</v>
      </c>
      <c r="AD17" s="350">
        <v>0</v>
      </c>
      <c r="AE17" s="350">
        <v>0</v>
      </c>
      <c r="AF17" s="350">
        <v>0</v>
      </c>
      <c r="AG17" s="350">
        <f t="shared" si="10"/>
        <v>0</v>
      </c>
      <c r="AH17" s="350">
        <v>0</v>
      </c>
      <c r="AI17" s="370">
        <f t="shared" si="11"/>
        <v>0</v>
      </c>
      <c r="AJ17" s="207"/>
      <c r="AK17" s="207"/>
      <c r="AL17" s="207"/>
      <c r="AM17" s="364">
        <f t="shared" si="12"/>
        <v>0.9</v>
      </c>
      <c r="AN17" s="207"/>
      <c r="AO17" s="365">
        <f t="shared" si="31"/>
        <v>16200</v>
      </c>
      <c r="AP17" s="351">
        <f t="shared" si="13"/>
        <v>0</v>
      </c>
      <c r="AQ17" s="351">
        <f t="shared" si="14"/>
        <v>0</v>
      </c>
      <c r="AR17" s="351">
        <f t="shared" si="24"/>
        <v>16200</v>
      </c>
      <c r="AS17" s="351">
        <f t="shared" si="32"/>
        <v>0</v>
      </c>
      <c r="AT17" s="351">
        <f t="shared" si="29"/>
        <v>0</v>
      </c>
      <c r="AU17" s="351">
        <f t="shared" si="34"/>
        <v>0</v>
      </c>
      <c r="AV17" s="351">
        <f t="shared" si="26"/>
        <v>0</v>
      </c>
      <c r="AW17" s="351">
        <f t="shared" si="27"/>
        <v>0</v>
      </c>
      <c r="AX17" s="351">
        <f t="shared" si="18"/>
        <v>0</v>
      </c>
      <c r="BA17" s="351">
        <f>IFERROR(VLOOKUP(A17,Acquisition!$C$5:$E$10,3,FALSE),0)</f>
        <v>0</v>
      </c>
    </row>
    <row r="18" spans="1:53" ht="16" customHeight="1" x14ac:dyDescent="0.35">
      <c r="A18" s="527" t="str">
        <f t="shared" si="30"/>
        <v>J</v>
      </c>
      <c r="B18" s="348" t="s">
        <v>461</v>
      </c>
      <c r="C18" s="349" t="s">
        <v>243</v>
      </c>
      <c r="D18" s="349" t="s">
        <v>494</v>
      </c>
      <c r="E18" s="350">
        <v>25492</v>
      </c>
      <c r="F18" s="350">
        <v>30000</v>
      </c>
      <c r="G18" s="350">
        <v>0</v>
      </c>
      <c r="H18" s="350">
        <v>0</v>
      </c>
      <c r="I18" s="342"/>
      <c r="J18" s="342"/>
      <c r="K18" s="351">
        <f t="shared" si="20"/>
        <v>30000</v>
      </c>
      <c r="L18" s="342"/>
      <c r="M18" s="548">
        <f ca="1">+M$2*Z18*(1+Assumptions!$O$85)^Assumptions!$O$86</f>
        <v>0</v>
      </c>
      <c r="N18" s="548">
        <f ca="1">+N$2*AA18*(1+Assumptions!$O$85)^Assumptions!$O$86</f>
        <v>0</v>
      </c>
      <c r="O18" s="548">
        <f ca="1">+O$2*AB18*(1+Assumptions!$O$85)^Assumptions!$O$86</f>
        <v>5149980</v>
      </c>
      <c r="P18" s="548">
        <f ca="1">+P$2*AC18*(1+Assumptions!$O$85)^Assumptions!$O$86</f>
        <v>0</v>
      </c>
      <c r="Q18" s="548">
        <f ca="1">+Q$2*AD18*(1+Assumptions!$O$85)^Assumptions!$O$86</f>
        <v>0</v>
      </c>
      <c r="R18" s="548">
        <f ca="1">+R$2*AE18*(1+Assumptions!$O$85)^Assumptions!$O$86</f>
        <v>0</v>
      </c>
      <c r="S18" s="548">
        <f ca="1">+S$2*AF18*(1+Assumptions!$O$85)^Assumptions!$O$86</f>
        <v>0</v>
      </c>
      <c r="T18" s="548">
        <f ca="1">+T$2*AG18*(1+Assumptions!$O$85)^Assumptions!$O$86</f>
        <v>0</v>
      </c>
      <c r="U18" s="548">
        <f ca="1">+U$2*AH18*(1+Assumptions!$O$85)^Assumptions!$O$86</f>
        <v>0</v>
      </c>
      <c r="V18" s="548">
        <f t="shared" ca="1" si="21"/>
        <v>171.666</v>
      </c>
      <c r="W18" s="548">
        <f t="shared" ca="1" si="22"/>
        <v>171.666</v>
      </c>
      <c r="X18" s="342"/>
      <c r="Y18" s="342"/>
      <c r="Z18" s="351">
        <f t="shared" si="9"/>
        <v>0</v>
      </c>
      <c r="AA18" s="351">
        <f t="shared" si="9"/>
        <v>0</v>
      </c>
      <c r="AB18" s="350">
        <v>30000</v>
      </c>
      <c r="AC18" s="350">
        <v>0</v>
      </c>
      <c r="AD18" s="350">
        <v>0</v>
      </c>
      <c r="AE18" s="350">
        <v>0</v>
      </c>
      <c r="AF18" s="350">
        <v>0</v>
      </c>
      <c r="AG18" s="350">
        <f t="shared" si="10"/>
        <v>0</v>
      </c>
      <c r="AH18" s="350">
        <v>0</v>
      </c>
      <c r="AI18" s="370">
        <f t="shared" si="11"/>
        <v>0</v>
      </c>
      <c r="AJ18" s="207"/>
      <c r="AK18" s="207"/>
      <c r="AL18" s="207"/>
      <c r="AM18" s="364">
        <f t="shared" si="12"/>
        <v>0.9</v>
      </c>
      <c r="AN18" s="207"/>
      <c r="AO18" s="365">
        <f t="shared" si="31"/>
        <v>27000</v>
      </c>
      <c r="AP18" s="351">
        <f t="shared" si="13"/>
        <v>0</v>
      </c>
      <c r="AQ18" s="351">
        <f t="shared" si="14"/>
        <v>0</v>
      </c>
      <c r="AR18" s="351">
        <f t="shared" si="24"/>
        <v>27000</v>
      </c>
      <c r="AS18" s="351">
        <f t="shared" si="32"/>
        <v>0</v>
      </c>
      <c r="AT18" s="351">
        <f t="shared" si="29"/>
        <v>0</v>
      </c>
      <c r="AU18" s="351">
        <f t="shared" si="34"/>
        <v>0</v>
      </c>
      <c r="AV18" s="351">
        <f t="shared" si="26"/>
        <v>0</v>
      </c>
      <c r="AW18" s="351">
        <f t="shared" si="27"/>
        <v>0</v>
      </c>
      <c r="AX18" s="351">
        <f t="shared" si="18"/>
        <v>0</v>
      </c>
      <c r="BA18" s="351">
        <f>IFERROR(VLOOKUP(A18,Acquisition!$C$5:$E$10,3,FALSE),0)</f>
        <v>678572.10714285716</v>
      </c>
    </row>
    <row r="19" spans="1:53" ht="16" customHeight="1" x14ac:dyDescent="0.35">
      <c r="A19" s="527" t="str">
        <f t="shared" si="30"/>
        <v>K</v>
      </c>
      <c r="B19" s="352" t="s">
        <v>462</v>
      </c>
      <c r="C19" s="353" t="s">
        <v>244</v>
      </c>
      <c r="D19" s="353" t="s">
        <v>494</v>
      </c>
      <c r="E19" s="354">
        <v>16158</v>
      </c>
      <c r="F19" s="354">
        <v>0</v>
      </c>
      <c r="G19" s="354">
        <v>127669</v>
      </c>
      <c r="H19" s="354">
        <v>48000</v>
      </c>
      <c r="I19" s="342"/>
      <c r="J19" s="342"/>
      <c r="K19" s="355">
        <f t="shared" si="20"/>
        <v>175669</v>
      </c>
      <c r="L19" s="342"/>
      <c r="M19" s="546">
        <f ca="1">+M$2*Z19*(1+Assumptions!$P$85)^Assumptions!$P$86</f>
        <v>4440944.2147113606</v>
      </c>
      <c r="N19" s="546">
        <f ca="1">+N$2*AA19*(1+Assumptions!$P$85)^Assumptions!$P$86</f>
        <v>18808704.909365762</v>
      </c>
      <c r="O19" s="546">
        <f ca="1">+O$2*AB19*(1+Assumptions!$P$85)^Assumptions!$P$86</f>
        <v>1250209.1447999999</v>
      </c>
      <c r="P19" s="546">
        <f ca="1">+P$2*AC19*(1+Assumptions!$P$85)^Assumptions!$P$86</f>
        <v>0</v>
      </c>
      <c r="Q19" s="546">
        <f ca="1">+Q$2*AD19*(1+Assumptions!$P$85)^Assumptions!$P$86</f>
        <v>0</v>
      </c>
      <c r="R19" s="546">
        <f ca="1">+R$2*AE19*(1+Assumptions!$P$85)^Assumptions!$P$86</f>
        <v>0</v>
      </c>
      <c r="S19" s="546">
        <f ca="1">+S$2*AF19*(1+Assumptions!$P$85)^Assumptions!$P$86</f>
        <v>0</v>
      </c>
      <c r="T19" s="546">
        <f ca="1">+T$2*AG19*(1+Assumptions!$P$85)^Assumptions!$P$86</f>
        <v>2597837.1839999999</v>
      </c>
      <c r="U19" s="546">
        <f ca="1">+U$2*AH19*(1+Assumptions!$P$85)^Assumptions!$P$86</f>
        <v>0</v>
      </c>
      <c r="V19" s="546">
        <f t="shared" ca="1" si="21"/>
        <v>154.25428193293706</v>
      </c>
      <c r="W19" s="546">
        <f t="shared" ca="1" si="22"/>
        <v>191.90138772041078</v>
      </c>
      <c r="X19" s="342"/>
      <c r="Y19" s="342"/>
      <c r="Z19" s="355">
        <f t="shared" si="9"/>
        <v>24133.800000000003</v>
      </c>
      <c r="AA19" s="355">
        <f t="shared" si="9"/>
        <v>96535.200000000012</v>
      </c>
      <c r="AB19" s="354">
        <v>7000</v>
      </c>
      <c r="AC19" s="354">
        <v>0</v>
      </c>
      <c r="AD19" s="354">
        <v>0</v>
      </c>
      <c r="AE19" s="354">
        <v>0</v>
      </c>
      <c r="AF19" s="354">
        <v>0</v>
      </c>
      <c r="AG19" s="354">
        <f t="shared" si="10"/>
        <v>48000</v>
      </c>
      <c r="AH19" s="354">
        <v>0</v>
      </c>
      <c r="AI19" s="368">
        <f t="shared" si="11"/>
        <v>0</v>
      </c>
      <c r="AJ19" s="207"/>
      <c r="AK19" s="359">
        <v>0.89419900720151801</v>
      </c>
      <c r="AL19" s="207"/>
      <c r="AM19" s="364">
        <f t="shared" si="12"/>
        <v>0.89451707148955484</v>
      </c>
      <c r="AN19" s="207"/>
      <c r="AO19" s="360">
        <f t="shared" si="31"/>
        <v>162202.09999999998</v>
      </c>
      <c r="AP19" s="355">
        <f t="shared" si="13"/>
        <v>21580.42</v>
      </c>
      <c r="AQ19" s="355">
        <f t="shared" si="14"/>
        <v>86321.68</v>
      </c>
      <c r="AR19" s="355">
        <f t="shared" si="24"/>
        <v>6300</v>
      </c>
      <c r="AS19" s="355">
        <f t="shared" si="32"/>
        <v>0</v>
      </c>
      <c r="AT19" s="355">
        <f t="shared" si="29"/>
        <v>0</v>
      </c>
      <c r="AU19" s="355">
        <f t="shared" si="34"/>
        <v>0</v>
      </c>
      <c r="AV19" s="355">
        <f t="shared" si="26"/>
        <v>0</v>
      </c>
      <c r="AW19" s="355">
        <f t="shared" si="27"/>
        <v>48000</v>
      </c>
      <c r="AX19" s="355">
        <f t="shared" si="18"/>
        <v>0</v>
      </c>
      <c r="BA19" s="355">
        <f>IFERROR(VLOOKUP(A19,Acquisition!$C$5:$E$10,3,FALSE),0)</f>
        <v>4506350</v>
      </c>
    </row>
    <row r="20" spans="1:53" ht="16" customHeight="1" x14ac:dyDescent="0.35">
      <c r="A20" s="527" t="str">
        <f t="shared" si="30"/>
        <v>M</v>
      </c>
      <c r="B20" s="344" t="s">
        <v>463</v>
      </c>
      <c r="C20" s="345" t="s">
        <v>205</v>
      </c>
      <c r="D20" s="345" t="s">
        <v>494</v>
      </c>
      <c r="E20" s="346">
        <v>69629</v>
      </c>
      <c r="F20" s="346">
        <v>160000</v>
      </c>
      <c r="G20" s="346">
        <v>265067</v>
      </c>
      <c r="H20" s="346">
        <v>50000</v>
      </c>
      <c r="I20" s="342"/>
      <c r="J20" s="342"/>
      <c r="K20" s="347">
        <f t="shared" si="20"/>
        <v>475067</v>
      </c>
      <c r="L20" s="342"/>
      <c r="M20" s="547">
        <f t="shared" ref="M20:U20" ca="1" si="35">+M$2*Z20</f>
        <v>11562278.000000002</v>
      </c>
      <c r="N20" s="547">
        <f t="shared" ca="1" si="35"/>
        <v>48969648.000000007</v>
      </c>
      <c r="O20" s="547">
        <f t="shared" ca="1" si="35"/>
        <v>14025000</v>
      </c>
      <c r="P20" s="547">
        <f t="shared" ca="1" si="35"/>
        <v>0</v>
      </c>
      <c r="Q20" s="547">
        <f t="shared" ca="1" si="35"/>
        <v>0</v>
      </c>
      <c r="R20" s="547">
        <f t="shared" ca="1" si="35"/>
        <v>0</v>
      </c>
      <c r="S20" s="547">
        <f t="shared" ca="1" si="35"/>
        <v>0</v>
      </c>
      <c r="T20" s="547">
        <f t="shared" ca="1" si="35"/>
        <v>2500000</v>
      </c>
      <c r="U20" s="547">
        <f t="shared" ca="1" si="35"/>
        <v>0</v>
      </c>
      <c r="V20" s="547">
        <f t="shared" ca="1" si="21"/>
        <v>162.20222831726892</v>
      </c>
      <c r="W20" s="547">
        <f t="shared" ca="1" si="22"/>
        <v>175.40040981774638</v>
      </c>
      <c r="X20" s="342"/>
      <c r="Y20" s="342"/>
      <c r="Z20" s="347">
        <f t="shared" si="9"/>
        <v>68013.400000000009</v>
      </c>
      <c r="AA20" s="347">
        <f t="shared" si="9"/>
        <v>272053.60000000003</v>
      </c>
      <c r="AB20" s="346">
        <v>85000</v>
      </c>
      <c r="AC20" s="346">
        <v>0</v>
      </c>
      <c r="AD20" s="346">
        <v>0</v>
      </c>
      <c r="AE20" s="346">
        <v>0</v>
      </c>
      <c r="AF20" s="346">
        <v>0</v>
      </c>
      <c r="AG20" s="346">
        <f t="shared" si="10"/>
        <v>50000</v>
      </c>
      <c r="AH20" s="346">
        <v>0</v>
      </c>
      <c r="AI20" s="369">
        <f t="shared" si="11"/>
        <v>0</v>
      </c>
      <c r="AJ20" s="207"/>
      <c r="AK20" s="359">
        <v>0.87500492549997499</v>
      </c>
      <c r="AL20" s="207"/>
      <c r="AM20" s="364">
        <f t="shared" si="12"/>
        <v>0.88000315244420291</v>
      </c>
      <c r="AN20" s="207"/>
      <c r="AO20" s="361">
        <f t="shared" si="31"/>
        <v>424060.30000000005</v>
      </c>
      <c r="AP20" s="347">
        <f t="shared" si="13"/>
        <v>59512.060000000005</v>
      </c>
      <c r="AQ20" s="347">
        <f t="shared" si="14"/>
        <v>238048.24000000002</v>
      </c>
      <c r="AR20" s="347">
        <f t="shared" si="24"/>
        <v>76500</v>
      </c>
      <c r="AS20" s="347">
        <f t="shared" si="32"/>
        <v>0</v>
      </c>
      <c r="AT20" s="347">
        <f t="shared" si="29"/>
        <v>0</v>
      </c>
      <c r="AU20" s="347">
        <f t="shared" si="34"/>
        <v>0</v>
      </c>
      <c r="AV20" s="347">
        <f t="shared" si="26"/>
        <v>0</v>
      </c>
      <c r="AW20" s="347">
        <f t="shared" si="27"/>
        <v>50000</v>
      </c>
      <c r="AX20" s="347">
        <f t="shared" si="18"/>
        <v>0</v>
      </c>
      <c r="BA20" s="347">
        <f>IFERROR(VLOOKUP(A20,Acquisition!$C$5:$E$10,3,FALSE),0)</f>
        <v>6900150</v>
      </c>
    </row>
    <row r="21" spans="1:53" ht="16" customHeight="1" x14ac:dyDescent="0.35">
      <c r="A21" s="527" t="str">
        <f t="shared" si="30"/>
        <v>N</v>
      </c>
      <c r="B21" s="352" t="s">
        <v>464</v>
      </c>
      <c r="C21" s="353" t="s">
        <v>244</v>
      </c>
      <c r="D21" s="353" t="s">
        <v>494</v>
      </c>
      <c r="E21" s="354">
        <v>19409</v>
      </c>
      <c r="F21" s="354">
        <v>55486</v>
      </c>
      <c r="G21" s="354">
        <v>0</v>
      </c>
      <c r="H21" s="354">
        <v>0</v>
      </c>
      <c r="I21" s="342"/>
      <c r="J21" s="342"/>
      <c r="K21" s="355">
        <f t="shared" si="20"/>
        <v>55486</v>
      </c>
      <c r="L21" s="342"/>
      <c r="M21" s="546">
        <f ca="1">+M$2*Z21*(1+Assumptions!$P$85)^Assumptions!$P$86</f>
        <v>924461.08689415688</v>
      </c>
      <c r="N21" s="546">
        <f ca="1">+N$2*AA21*(1+Assumptions!$P$85)^Assumptions!$P$86</f>
        <v>3915364.6033164291</v>
      </c>
      <c r="O21" s="546">
        <f ca="1">+O$2*AB21*(1+Assumptions!$P$85)^Assumptions!$P$86</f>
        <v>1428810.4512</v>
      </c>
      <c r="P21" s="546">
        <f ca="1">+P$2*AC21*(1+Assumptions!$P$85)^Assumptions!$P$86</f>
        <v>4478913.1927226875</v>
      </c>
      <c r="Q21" s="546">
        <f ca="1">+Q$2*AD21*(1+Assumptions!$P$85)^Assumptions!$P$86</f>
        <v>0</v>
      </c>
      <c r="R21" s="546">
        <f ca="1">+R$2*AE21*(1+Assumptions!$P$85)^Assumptions!$P$86</f>
        <v>0</v>
      </c>
      <c r="S21" s="546">
        <f ca="1">+S$2*AF21*(1+Assumptions!$P$85)^Assumptions!$P$86</f>
        <v>0</v>
      </c>
      <c r="T21" s="546">
        <f ca="1">+T$2*AG21*(1+Assumptions!$P$85)^Assumptions!$P$86</f>
        <v>0</v>
      </c>
      <c r="U21" s="546">
        <f ca="1">+U$2*AH21*(1+Assumptions!$P$85)^Assumptions!$P$86</f>
        <v>0</v>
      </c>
      <c r="V21" s="546">
        <f t="shared" ca="1" si="21"/>
        <v>193.69839840920727</v>
      </c>
      <c r="W21" s="546">
        <f t="shared" ca="1" si="22"/>
        <v>193.69839840920727</v>
      </c>
      <c r="X21" s="342"/>
      <c r="Y21" s="342"/>
      <c r="Z21" s="355">
        <f t="shared" si="9"/>
        <v>5023.8773333333338</v>
      </c>
      <c r="AA21" s="355">
        <f t="shared" si="9"/>
        <v>20095.509333333335</v>
      </c>
      <c r="AB21" s="354">
        <v>8000</v>
      </c>
      <c r="AC21" s="354">
        <f>16774.96/0.75</f>
        <v>22366.613333333331</v>
      </c>
      <c r="AD21" s="354">
        <v>0</v>
      </c>
      <c r="AE21" s="354">
        <v>0</v>
      </c>
      <c r="AF21" s="354">
        <v>0</v>
      </c>
      <c r="AG21" s="354">
        <f t="shared" si="10"/>
        <v>0</v>
      </c>
      <c r="AH21" s="354">
        <v>0</v>
      </c>
      <c r="AI21" s="368">
        <f t="shared" si="11"/>
        <v>0</v>
      </c>
      <c r="AJ21" s="207"/>
      <c r="AK21" s="359">
        <v>0.874335761773956</v>
      </c>
      <c r="AL21" s="359"/>
      <c r="AM21" s="364">
        <f t="shared" si="12"/>
        <v>0.82791583600357843</v>
      </c>
      <c r="AN21" s="207"/>
      <c r="AO21" s="360">
        <f t="shared" si="31"/>
        <v>45937.738076494556</v>
      </c>
      <c r="AP21" s="355">
        <f t="shared" si="13"/>
        <v>4392.5556152989111</v>
      </c>
      <c r="AQ21" s="355">
        <f t="shared" si="14"/>
        <v>17570.222461195644</v>
      </c>
      <c r="AR21" s="355">
        <f t="shared" si="24"/>
        <v>7200</v>
      </c>
      <c r="AS21" s="355">
        <f t="shared" si="32"/>
        <v>16774.96</v>
      </c>
      <c r="AT21" s="355">
        <f t="shared" si="29"/>
        <v>0</v>
      </c>
      <c r="AU21" s="355">
        <f t="shared" si="34"/>
        <v>0</v>
      </c>
      <c r="AV21" s="355">
        <f t="shared" si="26"/>
        <v>0</v>
      </c>
      <c r="AW21" s="355">
        <f t="shared" si="27"/>
        <v>0</v>
      </c>
      <c r="AX21" s="355">
        <f t="shared" si="18"/>
        <v>0</v>
      </c>
      <c r="BA21" s="355">
        <f>IFERROR(VLOOKUP(A21,Acquisition!$C$5:$E$10,3,FALSE),0)</f>
        <v>3281849.9999999995</v>
      </c>
    </row>
    <row r="22" spans="1:53" ht="16" customHeight="1" x14ac:dyDescent="0.35">
      <c r="A22" s="527" t="str">
        <f t="shared" si="30"/>
        <v>O</v>
      </c>
      <c r="B22" s="352" t="s">
        <v>465</v>
      </c>
      <c r="C22" s="353" t="s">
        <v>244</v>
      </c>
      <c r="D22" s="353" t="s">
        <v>494</v>
      </c>
      <c r="E22" s="354">
        <v>139405</v>
      </c>
      <c r="F22" s="354">
        <v>711000</v>
      </c>
      <c r="G22" s="354">
        <v>0</v>
      </c>
      <c r="H22" s="354">
        <v>150000</v>
      </c>
      <c r="I22" s="342"/>
      <c r="J22" s="342"/>
      <c r="K22" s="355">
        <f t="shared" si="20"/>
        <v>861000</v>
      </c>
      <c r="L22" s="342"/>
      <c r="M22" s="546">
        <f ca="1">+M$2*Z22*(1+Assumptions!$P$85)^Assumptions!$P$86</f>
        <v>0</v>
      </c>
      <c r="N22" s="546">
        <f ca="1">+N$2*AA22*(1+Assumptions!$P$85)^Assumptions!$P$86</f>
        <v>0</v>
      </c>
      <c r="O22" s="546">
        <f ca="1">+O$2*AB22*(1+Assumptions!$P$85)^Assumptions!$P$86</f>
        <v>3809565.8655119999</v>
      </c>
      <c r="P22" s="546">
        <f ca="1">+P$2*AC22*(1+Assumptions!$P$85)^Assumptions!$P$86</f>
        <v>0</v>
      </c>
      <c r="Q22" s="546">
        <f ca="1">+Q$2*AD22*(1+Assumptions!$P$85)^Assumptions!$P$86</f>
        <v>13968408.173543999</v>
      </c>
      <c r="R22" s="546">
        <f ca="1">+R$2*AE22*(1+Assumptions!$P$85)^Assumptions!$P$86</f>
        <v>67302330.290711999</v>
      </c>
      <c r="S22" s="546">
        <f ca="1">+S$2*AF22*(1+Assumptions!$P$85)^Assumptions!$P$86</f>
        <v>27936816.347087998</v>
      </c>
      <c r="T22" s="546">
        <f ca="1">+T$2*AG22*(1+Assumptions!$P$85)^Assumptions!$P$86</f>
        <v>0</v>
      </c>
      <c r="U22" s="546">
        <f ca="1">+U$2*AH22*(1+Assumptions!$P$85)^Assumptions!$P$86</f>
        <v>1623648.24</v>
      </c>
      <c r="V22" s="546">
        <f t="shared" ca="1" si="21"/>
        <v>133.14839595453657</v>
      </c>
      <c r="W22" s="546">
        <f t="shared" ca="1" si="22"/>
        <v>158.955162696</v>
      </c>
      <c r="X22" s="342"/>
      <c r="Y22" s="342"/>
      <c r="Z22" s="355">
        <f t="shared" si="9"/>
        <v>0</v>
      </c>
      <c r="AA22" s="355">
        <f t="shared" si="9"/>
        <v>0</v>
      </c>
      <c r="AB22" s="354">
        <v>21330</v>
      </c>
      <c r="AC22" s="354">
        <v>0</v>
      </c>
      <c r="AD22" s="354">
        <v>78210</v>
      </c>
      <c r="AE22" s="354">
        <v>376830</v>
      </c>
      <c r="AF22" s="354">
        <v>234630</v>
      </c>
      <c r="AG22" s="354">
        <v>0</v>
      </c>
      <c r="AH22" s="354">
        <f>+H22</f>
        <v>150000</v>
      </c>
      <c r="AI22" s="368">
        <f t="shared" si="11"/>
        <v>0</v>
      </c>
      <c r="AJ22" s="207"/>
      <c r="AK22" s="207"/>
      <c r="AL22" s="359"/>
      <c r="AM22" s="364">
        <f t="shared" si="12"/>
        <v>0.997</v>
      </c>
      <c r="AN22" s="207"/>
      <c r="AO22" s="360">
        <f t="shared" si="31"/>
        <v>858867</v>
      </c>
      <c r="AP22" s="355">
        <f t="shared" si="13"/>
        <v>0</v>
      </c>
      <c r="AQ22" s="355">
        <f t="shared" si="14"/>
        <v>0</v>
      </c>
      <c r="AR22" s="355">
        <f t="shared" si="24"/>
        <v>19197</v>
      </c>
      <c r="AS22" s="355">
        <f t="shared" si="32"/>
        <v>0</v>
      </c>
      <c r="AT22" s="355">
        <f t="shared" si="29"/>
        <v>78210</v>
      </c>
      <c r="AU22" s="355">
        <f>+AE22</f>
        <v>376830</v>
      </c>
      <c r="AV22" s="355">
        <f t="shared" si="26"/>
        <v>234630</v>
      </c>
      <c r="AW22" s="355">
        <f t="shared" si="27"/>
        <v>0</v>
      </c>
      <c r="AX22" s="355">
        <f t="shared" si="18"/>
        <v>150000</v>
      </c>
      <c r="BA22" s="355">
        <f>IFERROR(VLOOKUP(A22,Acquisition!$C$5:$E$10,3,FALSE),0)</f>
        <v>1333386</v>
      </c>
    </row>
    <row r="23" spans="1:53" ht="16" customHeight="1" x14ac:dyDescent="0.35">
      <c r="B23" s="325" t="s">
        <v>17</v>
      </c>
      <c r="C23" s="226"/>
      <c r="D23" s="226"/>
      <c r="E23" s="326">
        <f>+SUM(E6:E22)</f>
        <v>1011923</v>
      </c>
      <c r="F23" s="326">
        <f>+SUM(F6:F22)</f>
        <v>2263861</v>
      </c>
      <c r="G23" s="326">
        <f>+SUM(G6:G22)</f>
        <v>1798001</v>
      </c>
      <c r="H23" s="326">
        <f>+SUM(H6:H22)</f>
        <v>387000</v>
      </c>
      <c r="I23" s="343"/>
      <c r="J23" s="343"/>
      <c r="K23" s="326">
        <f>+SUM(K6:K22)</f>
        <v>4448862</v>
      </c>
      <c r="L23" s="343"/>
      <c r="M23" s="549">
        <f t="shared" ref="M23:U23" ca="1" si="36">+SUM(M6:M22)</f>
        <v>57071093.789037518</v>
      </c>
      <c r="N23" s="549">
        <f t="shared" ca="1" si="36"/>
        <v>241712867.81239423</v>
      </c>
      <c r="O23" s="549">
        <f t="shared" ca="1" si="36"/>
        <v>80748279.330311984</v>
      </c>
      <c r="P23" s="549">
        <f t="shared" ca="1" si="36"/>
        <v>67694695.908722684</v>
      </c>
      <c r="Q23" s="549">
        <f t="shared" ca="1" si="36"/>
        <v>27024033.173543997</v>
      </c>
      <c r="R23" s="549">
        <f t="shared" ca="1" si="36"/>
        <v>210317627.44684556</v>
      </c>
      <c r="S23" s="549">
        <f t="shared" ca="1" si="36"/>
        <v>27936816.347087998</v>
      </c>
      <c r="T23" s="549">
        <f t="shared" ca="1" si="36"/>
        <v>12261957.184</v>
      </c>
      <c r="U23" s="549">
        <f t="shared" ca="1" si="36"/>
        <v>1623648.24</v>
      </c>
      <c r="V23" s="549"/>
      <c r="W23" s="549"/>
      <c r="X23" s="343"/>
      <c r="Y23" s="343"/>
      <c r="Z23" s="326">
        <f t="shared" ref="Z23:AH23" si="37">+SUM(Z6:Z22)</f>
        <v>323241.01511111116</v>
      </c>
      <c r="AA23" s="326">
        <f t="shared" si="37"/>
        <v>1292964.0604444447</v>
      </c>
      <c r="AB23" s="326">
        <f t="shared" si="37"/>
        <v>476705</v>
      </c>
      <c r="AC23" s="326">
        <f t="shared" si="37"/>
        <v>358884.81333333335</v>
      </c>
      <c r="AD23" s="326">
        <f t="shared" si="37"/>
        <v>157335</v>
      </c>
      <c r="AE23" s="326">
        <f t="shared" si="37"/>
        <v>1218102.111111111</v>
      </c>
      <c r="AF23" s="326">
        <f t="shared" si="37"/>
        <v>234630</v>
      </c>
      <c r="AG23" s="326">
        <f t="shared" si="37"/>
        <v>237000</v>
      </c>
      <c r="AH23" s="326">
        <f t="shared" si="37"/>
        <v>150000</v>
      </c>
      <c r="AI23" s="371">
        <f t="shared" si="11"/>
        <v>0</v>
      </c>
      <c r="AJ23" s="207"/>
      <c r="AK23" s="207"/>
      <c r="AL23" s="207"/>
      <c r="AM23" s="207"/>
      <c r="AN23" s="207"/>
      <c r="AO23" s="326">
        <f t="shared" si="31"/>
        <v>3996629.0193291572</v>
      </c>
      <c r="AP23" s="326">
        <f t="shared" ref="AP23:AX23" si="38">+SUM(AP6:AP22)</f>
        <v>276641.36186583148</v>
      </c>
      <c r="AQ23" s="326">
        <f t="shared" si="38"/>
        <v>1106565.4474633259</v>
      </c>
      <c r="AR23" s="326">
        <f t="shared" si="38"/>
        <v>423297</v>
      </c>
      <c r="AS23" s="326">
        <f t="shared" si="38"/>
        <v>277185.31000000006</v>
      </c>
      <c r="AT23" s="326">
        <f t="shared" si="38"/>
        <v>157335</v>
      </c>
      <c r="AU23" s="326">
        <f t="shared" si="38"/>
        <v>1133974.8999999999</v>
      </c>
      <c r="AV23" s="326">
        <f t="shared" si="38"/>
        <v>234630</v>
      </c>
      <c r="AW23" s="326">
        <f t="shared" si="38"/>
        <v>237000</v>
      </c>
      <c r="AX23" s="326">
        <f t="shared" si="38"/>
        <v>150000</v>
      </c>
      <c r="BA23" s="326">
        <f t="shared" ref="BA23" si="39">+SUM(BA6:BA22)</f>
        <v>16840711.107142858</v>
      </c>
    </row>
    <row r="24" spans="1:53" ht="16" customHeight="1" x14ac:dyDescent="0.35">
      <c r="B24" s="325" t="s">
        <v>245</v>
      </c>
      <c r="C24" s="380" t="s">
        <v>205</v>
      </c>
      <c r="D24" s="380"/>
      <c r="E24" s="326">
        <f t="shared" ref="E24:H26" si="40">+SUMIF($C$6:$C$22,$C24,E$6:E$22)</f>
        <v>318650</v>
      </c>
      <c r="F24" s="326">
        <f t="shared" si="40"/>
        <v>643060</v>
      </c>
      <c r="G24" s="326">
        <f t="shared" si="40"/>
        <v>974124</v>
      </c>
      <c r="H24" s="326">
        <f t="shared" si="40"/>
        <v>83000</v>
      </c>
      <c r="I24" s="343"/>
      <c r="J24" s="343"/>
      <c r="K24" s="326">
        <f>+SUMIF($C$6:$C$22,$C24,K$6:K$22)</f>
        <v>1700184</v>
      </c>
      <c r="L24" s="343"/>
      <c r="M24" s="549">
        <f ca="1">+SUMIF($C$6:$C$22,$C24,M$6:M$22)</f>
        <v>21418905.200000003</v>
      </c>
      <c r="N24" s="549">
        <f t="shared" ref="N24:U26" ca="1" si="41">+SUMIF($C$6:$C$22,$C24,N$6:N$22)</f>
        <v>90715363.200000018</v>
      </c>
      <c r="O24" s="549">
        <f t="shared" ca="1" si="41"/>
        <v>40321875</v>
      </c>
      <c r="P24" s="549">
        <f t="shared" ca="1" si="41"/>
        <v>38495577</v>
      </c>
      <c r="Q24" s="549">
        <f t="shared" ca="1" si="41"/>
        <v>13055625</v>
      </c>
      <c r="R24" s="549">
        <f t="shared" ca="1" si="41"/>
        <v>75179280</v>
      </c>
      <c r="S24" s="549">
        <f t="shared" ca="1" si="41"/>
        <v>0</v>
      </c>
      <c r="T24" s="549">
        <f t="shared" ca="1" si="41"/>
        <v>4150000</v>
      </c>
      <c r="U24" s="549">
        <f t="shared" ca="1" si="41"/>
        <v>0</v>
      </c>
      <c r="V24" s="549"/>
      <c r="W24" s="549"/>
      <c r="X24" s="343"/>
      <c r="Y24" s="343"/>
      <c r="Z24" s="326">
        <f t="shared" ref="Z24:AH26" si="42">+SUMIF($C$6:$C$22,$C24,Z$6:Z$22)</f>
        <v>125993.56</v>
      </c>
      <c r="AA24" s="326">
        <f t="shared" si="42"/>
        <v>503974.24</v>
      </c>
      <c r="AB24" s="326">
        <f t="shared" si="42"/>
        <v>244375</v>
      </c>
      <c r="AC24" s="326">
        <f t="shared" si="42"/>
        <v>208084.2</v>
      </c>
      <c r="AD24" s="326">
        <f t="shared" si="42"/>
        <v>79125</v>
      </c>
      <c r="AE24" s="326">
        <f t="shared" si="42"/>
        <v>455632</v>
      </c>
      <c r="AF24" s="326">
        <f t="shared" si="42"/>
        <v>0</v>
      </c>
      <c r="AG24" s="326">
        <f t="shared" si="42"/>
        <v>83000</v>
      </c>
      <c r="AH24" s="326">
        <f t="shared" si="42"/>
        <v>0</v>
      </c>
      <c r="AI24" s="371">
        <f t="shared" si="11"/>
        <v>0</v>
      </c>
      <c r="AO24" s="326">
        <f t="shared" ref="AO24:AX26" si="43">+SUMIF($C$6:$C$22,$C24,AO$6:AO$22)</f>
        <v>1489114.8756971073</v>
      </c>
      <c r="AP24" s="326">
        <f t="shared" si="43"/>
        <v>109331.58513942146</v>
      </c>
      <c r="AQ24" s="326">
        <f t="shared" si="43"/>
        <v>437326.34055768582</v>
      </c>
      <c r="AR24" s="326">
        <f t="shared" si="43"/>
        <v>214200</v>
      </c>
      <c r="AS24" s="326">
        <f t="shared" si="43"/>
        <v>156063.15000000002</v>
      </c>
      <c r="AT24" s="326">
        <f t="shared" si="43"/>
        <v>79125</v>
      </c>
      <c r="AU24" s="326">
        <f t="shared" si="43"/>
        <v>410068.80000000005</v>
      </c>
      <c r="AV24" s="326">
        <f t="shared" si="43"/>
        <v>0</v>
      </c>
      <c r="AW24" s="326">
        <f t="shared" si="43"/>
        <v>83000</v>
      </c>
      <c r="AX24" s="326">
        <f t="shared" si="43"/>
        <v>0</v>
      </c>
      <c r="BA24" s="326">
        <f t="shared" ref="BA24:BA26" si="44">+SUMIF($C$6:$C$22,$C24,BA$6:BA$22)</f>
        <v>6900151</v>
      </c>
    </row>
    <row r="25" spans="1:53" ht="16" customHeight="1" x14ac:dyDescent="0.35">
      <c r="B25" s="325" t="s">
        <v>245</v>
      </c>
      <c r="C25" s="380" t="s">
        <v>243</v>
      </c>
      <c r="D25" s="380"/>
      <c r="E25" s="326">
        <f t="shared" si="40"/>
        <v>411071</v>
      </c>
      <c r="F25" s="326">
        <f t="shared" si="40"/>
        <v>539001</v>
      </c>
      <c r="G25" s="326">
        <f t="shared" si="40"/>
        <v>343998</v>
      </c>
      <c r="H25" s="326">
        <f t="shared" si="40"/>
        <v>106000</v>
      </c>
      <c r="I25" s="343"/>
      <c r="J25" s="343"/>
      <c r="K25" s="326">
        <f>+SUMIF($C$6:$C$22,$C25,K$6:K$22)</f>
        <v>988999</v>
      </c>
      <c r="L25" s="343"/>
      <c r="M25" s="549">
        <f ca="1">+SUMIF($C$6:$C$22,$C25,M$6:M$22)</f>
        <v>15940582.236000001</v>
      </c>
      <c r="N25" s="549">
        <f t="shared" ca="1" si="41"/>
        <v>67513054.175999999</v>
      </c>
      <c r="O25" s="549">
        <f t="shared" ca="1" si="41"/>
        <v>26436564</v>
      </c>
      <c r="P25" s="549">
        <f t="shared" ca="1" si="41"/>
        <v>24720205.715999998</v>
      </c>
      <c r="Q25" s="549">
        <f t="shared" ca="1" si="41"/>
        <v>0</v>
      </c>
      <c r="R25" s="549">
        <f t="shared" ca="1" si="41"/>
        <v>25737883.379999999</v>
      </c>
      <c r="S25" s="549">
        <f t="shared" ca="1" si="41"/>
        <v>0</v>
      </c>
      <c r="T25" s="549">
        <f t="shared" ca="1" si="41"/>
        <v>5514120</v>
      </c>
      <c r="U25" s="549">
        <f t="shared" ca="1" si="41"/>
        <v>0</v>
      </c>
      <c r="V25" s="549"/>
      <c r="W25" s="549"/>
      <c r="X25" s="343"/>
      <c r="Y25" s="343"/>
      <c r="Z25" s="326">
        <f t="shared" si="42"/>
        <v>90127</v>
      </c>
      <c r="AA25" s="326">
        <f t="shared" si="42"/>
        <v>360508</v>
      </c>
      <c r="AB25" s="326">
        <f t="shared" si="42"/>
        <v>154000</v>
      </c>
      <c r="AC25" s="326">
        <f t="shared" si="42"/>
        <v>128434</v>
      </c>
      <c r="AD25" s="326">
        <f t="shared" si="42"/>
        <v>0</v>
      </c>
      <c r="AE25" s="326">
        <f t="shared" si="42"/>
        <v>149930</v>
      </c>
      <c r="AF25" s="326">
        <f t="shared" si="42"/>
        <v>0</v>
      </c>
      <c r="AG25" s="326">
        <f t="shared" si="42"/>
        <v>106000</v>
      </c>
      <c r="AH25" s="326">
        <f t="shared" si="42"/>
        <v>0</v>
      </c>
      <c r="AI25" s="371">
        <f t="shared" si="11"/>
        <v>0</v>
      </c>
      <c r="AO25" s="326">
        <f t="shared" si="43"/>
        <v>863621.3</v>
      </c>
      <c r="AP25" s="326">
        <f t="shared" si="43"/>
        <v>75947.420000000013</v>
      </c>
      <c r="AQ25" s="326">
        <f t="shared" si="43"/>
        <v>303789.68000000005</v>
      </c>
      <c r="AR25" s="326">
        <f t="shared" si="43"/>
        <v>138600</v>
      </c>
      <c r="AS25" s="326">
        <f t="shared" si="43"/>
        <v>104347.20000000001</v>
      </c>
      <c r="AT25" s="326">
        <f t="shared" si="43"/>
        <v>0</v>
      </c>
      <c r="AU25" s="326">
        <f t="shared" si="43"/>
        <v>134937</v>
      </c>
      <c r="AV25" s="326">
        <f t="shared" si="43"/>
        <v>0</v>
      </c>
      <c r="AW25" s="326">
        <f t="shared" si="43"/>
        <v>106000</v>
      </c>
      <c r="AX25" s="326">
        <f t="shared" si="43"/>
        <v>0</v>
      </c>
      <c r="BA25" s="326">
        <f t="shared" si="44"/>
        <v>818973.10714285716</v>
      </c>
    </row>
    <row r="26" spans="1:53" ht="16" customHeight="1" x14ac:dyDescent="0.35">
      <c r="B26" s="325" t="s">
        <v>245</v>
      </c>
      <c r="C26" s="380" t="s">
        <v>244</v>
      </c>
      <c r="D26" s="380"/>
      <c r="E26" s="326">
        <f t="shared" si="40"/>
        <v>282202</v>
      </c>
      <c r="F26" s="326">
        <f t="shared" si="40"/>
        <v>1081800</v>
      </c>
      <c r="G26" s="326">
        <f t="shared" si="40"/>
        <v>479879</v>
      </c>
      <c r="H26" s="326">
        <f t="shared" si="40"/>
        <v>198000</v>
      </c>
      <c r="I26" s="343"/>
      <c r="J26" s="343"/>
      <c r="K26" s="326">
        <f>+SUMIF($C$6:$C$22,$C26,K$6:K$22)</f>
        <v>1759679</v>
      </c>
      <c r="L26" s="343"/>
      <c r="M26" s="549">
        <f ca="1">+SUMIF($C$6:$C$22,$C26,M$6:M$22)</f>
        <v>19711606.353037525</v>
      </c>
      <c r="N26" s="549">
        <f t="shared" ca="1" si="41"/>
        <v>83484450.4363942</v>
      </c>
      <c r="O26" s="549">
        <f t="shared" ca="1" si="41"/>
        <v>13989840.330312001</v>
      </c>
      <c r="P26" s="549">
        <f t="shared" ca="1" si="41"/>
        <v>4478913.1927226875</v>
      </c>
      <c r="Q26" s="549">
        <f t="shared" ca="1" si="41"/>
        <v>13968408.173543999</v>
      </c>
      <c r="R26" s="549">
        <f t="shared" ca="1" si="41"/>
        <v>109400464.06684557</v>
      </c>
      <c r="S26" s="549">
        <f t="shared" ca="1" si="41"/>
        <v>27936816.347087998</v>
      </c>
      <c r="T26" s="549">
        <f t="shared" ca="1" si="41"/>
        <v>2597837.1839999999</v>
      </c>
      <c r="U26" s="549">
        <f t="shared" ca="1" si="41"/>
        <v>1623648.24</v>
      </c>
      <c r="V26" s="549"/>
      <c r="W26" s="549"/>
      <c r="X26" s="343"/>
      <c r="Y26" s="343"/>
      <c r="Z26" s="326">
        <f t="shared" si="42"/>
        <v>107120.45511111115</v>
      </c>
      <c r="AA26" s="326">
        <f t="shared" si="42"/>
        <v>428481.8204444446</v>
      </c>
      <c r="AB26" s="326">
        <f t="shared" si="42"/>
        <v>78330</v>
      </c>
      <c r="AC26" s="326">
        <f t="shared" si="42"/>
        <v>22366.613333333331</v>
      </c>
      <c r="AD26" s="326">
        <f t="shared" si="42"/>
        <v>78210</v>
      </c>
      <c r="AE26" s="326">
        <f t="shared" si="42"/>
        <v>612540.11111111101</v>
      </c>
      <c r="AF26" s="326">
        <f t="shared" si="42"/>
        <v>234630</v>
      </c>
      <c r="AG26" s="326">
        <f t="shared" si="42"/>
        <v>48000</v>
      </c>
      <c r="AH26" s="326">
        <f t="shared" si="42"/>
        <v>150000</v>
      </c>
      <c r="AI26" s="371">
        <f t="shared" si="11"/>
        <v>0</v>
      </c>
      <c r="AO26" s="326">
        <f t="shared" si="43"/>
        <v>1643892.8436320503</v>
      </c>
      <c r="AP26" s="326">
        <f t="shared" si="43"/>
        <v>91362.356726410057</v>
      </c>
      <c r="AQ26" s="326">
        <f t="shared" si="43"/>
        <v>365449.42690564023</v>
      </c>
      <c r="AR26" s="326">
        <f t="shared" si="43"/>
        <v>70497</v>
      </c>
      <c r="AS26" s="326">
        <f t="shared" si="43"/>
        <v>16774.96</v>
      </c>
      <c r="AT26" s="326">
        <f t="shared" si="43"/>
        <v>78210</v>
      </c>
      <c r="AU26" s="326">
        <f t="shared" si="43"/>
        <v>588969.09999999986</v>
      </c>
      <c r="AV26" s="326">
        <f t="shared" si="43"/>
        <v>234630</v>
      </c>
      <c r="AW26" s="326">
        <f t="shared" si="43"/>
        <v>48000</v>
      </c>
      <c r="AX26" s="326">
        <f t="shared" si="43"/>
        <v>150000</v>
      </c>
      <c r="BA26" s="326">
        <f t="shared" si="44"/>
        <v>9121587</v>
      </c>
    </row>
    <row r="28" spans="1:53" ht="16" customHeight="1" x14ac:dyDescent="0.35">
      <c r="B28" s="358" t="s">
        <v>21</v>
      </c>
      <c r="C28" s="258"/>
      <c r="AN28" s="327"/>
      <c r="AP28" s="375" t="s">
        <v>483</v>
      </c>
      <c r="AR28" s="375" t="s">
        <v>484</v>
      </c>
      <c r="AT28" s="375" t="s">
        <v>485</v>
      </c>
      <c r="AV28" s="375" t="s">
        <v>486</v>
      </c>
      <c r="AX28" s="375" t="s">
        <v>487</v>
      </c>
    </row>
    <row r="29" spans="1:53" ht="16" customHeight="1" x14ac:dyDescent="0.35">
      <c r="B29" s="356" t="s">
        <v>381</v>
      </c>
      <c r="AM29" s="332" t="s">
        <v>488</v>
      </c>
      <c r="AN29" s="376" t="s">
        <v>478</v>
      </c>
      <c r="AP29" s="30">
        <f>+Assumptions!E62</f>
        <v>550</v>
      </c>
      <c r="AQ29" s="378"/>
      <c r="AR29" s="30">
        <f>+Assumptions!E66</f>
        <v>750</v>
      </c>
      <c r="AS29" s="378"/>
      <c r="AT29" s="30">
        <f>+Assumptions!E70</f>
        <v>1100</v>
      </c>
      <c r="AU29" s="378"/>
      <c r="AV29" s="30">
        <f>+Assumptions!E74</f>
        <v>1500</v>
      </c>
      <c r="AW29" s="378"/>
      <c r="AX29" s="30">
        <f>+Assumptions!E78</f>
        <v>2200</v>
      </c>
    </row>
    <row r="30" spans="1:53" ht="16" customHeight="1" x14ac:dyDescent="0.35">
      <c r="B30" s="357" t="s">
        <v>384</v>
      </c>
      <c r="AM30" s="41" t="s">
        <v>21</v>
      </c>
      <c r="AN30" s="377">
        <f>+SUM(AO30,AQ30,AS30,AU30,AW30)-1</f>
        <v>0</v>
      </c>
      <c r="AO30" s="44">
        <v>0.5</v>
      </c>
      <c r="AP30" s="42">
        <f>AO30*$AQ24/AP$29</f>
        <v>397.56940050698711</v>
      </c>
      <c r="AQ30" s="44">
        <v>0.2</v>
      </c>
      <c r="AR30" s="42">
        <f>AQ30*$AQ24/AR$29</f>
        <v>116.62035748204956</v>
      </c>
      <c r="AS30" s="44">
        <v>0.1</v>
      </c>
      <c r="AT30" s="42">
        <f>AS30*$AQ24/AT$29</f>
        <v>39.756940050698709</v>
      </c>
      <c r="AU30" s="44">
        <v>0.05</v>
      </c>
      <c r="AV30" s="42">
        <f>AU30*$AQ24/AV$29</f>
        <v>14.577544685256195</v>
      </c>
      <c r="AW30" s="44">
        <v>0.15</v>
      </c>
      <c r="AX30" s="42">
        <f>AW30*$AQ24/AX$29</f>
        <v>29.81770503802403</v>
      </c>
      <c r="AY30" s="42">
        <f>+(AX30*$AX$29+AV30*$AV$29+AT30*$AT$29+AR30*$AR$29+AP30*$AP$29)</f>
        <v>437326.34055768582</v>
      </c>
    </row>
    <row r="31" spans="1:53" ht="16" customHeight="1" x14ac:dyDescent="0.35">
      <c r="AM31" s="41" t="s">
        <v>381</v>
      </c>
      <c r="AN31" s="377">
        <f>+SUM(AO31,AQ31,AS31,AU31,AW31)-1</f>
        <v>0</v>
      </c>
      <c r="AO31" s="44">
        <v>0.5</v>
      </c>
      <c r="AP31" s="42">
        <f t="shared" ref="AP31:AR31" si="45">AO31*$AQ25/AP$29</f>
        <v>276.17243636363639</v>
      </c>
      <c r="AQ31" s="44">
        <v>0.2</v>
      </c>
      <c r="AR31" s="42">
        <f t="shared" si="45"/>
        <v>81.010581333333349</v>
      </c>
      <c r="AS31" s="44">
        <v>0.1</v>
      </c>
      <c r="AT31" s="42">
        <f t="shared" ref="AT31" si="46">AS31*$AQ25/AT$29</f>
        <v>27.617243636363643</v>
      </c>
      <c r="AU31" s="44">
        <v>0.05</v>
      </c>
      <c r="AV31" s="42">
        <f t="shared" ref="AV31" si="47">AU31*$AQ25/AV$29</f>
        <v>10.126322666666669</v>
      </c>
      <c r="AW31" s="44">
        <v>0.15</v>
      </c>
      <c r="AX31" s="42">
        <f t="shared" ref="AX31" si="48">AW31*$AQ25/AX$29</f>
        <v>20.712932727272729</v>
      </c>
      <c r="AY31" s="42">
        <f t="shared" ref="AY31:AY33" si="49">+(AX31*$AX$29+AV31*$AV$29+AT31*$AT$29+AR31*$AR$29+AP31*$AP$29)</f>
        <v>303789.68000000005</v>
      </c>
    </row>
    <row r="32" spans="1:53" ht="16" customHeight="1" x14ac:dyDescent="0.35">
      <c r="B32" s="119" t="s">
        <v>678</v>
      </c>
      <c r="F32" s="473" t="s">
        <v>538</v>
      </c>
      <c r="G32" s="473" t="s">
        <v>641</v>
      </c>
      <c r="AN32" s="377"/>
      <c r="AO32" s="44"/>
      <c r="AP32" s="42"/>
      <c r="AQ32" s="44"/>
      <c r="AR32" s="42"/>
      <c r="AS32" s="44"/>
      <c r="AT32" s="42"/>
      <c r="AU32" s="44"/>
      <c r="AV32" s="42"/>
      <c r="AW32" s="44"/>
      <c r="AX32" s="42"/>
      <c r="AY32" s="42"/>
    </row>
    <row r="33" spans="2:51" ht="16" customHeight="1" x14ac:dyDescent="0.35">
      <c r="B33" s="41" t="s">
        <v>679</v>
      </c>
      <c r="F33" s="342">
        <f>+AD14</f>
        <v>60000</v>
      </c>
      <c r="G33" s="329">
        <f>+'Public Benefits'!F6</f>
        <v>8181818.1818181807</v>
      </c>
      <c r="AM33" s="41" t="s">
        <v>384</v>
      </c>
      <c r="AN33" s="377">
        <f>+SUM(AO33,AQ33,AS33,AU33,AW33)-1</f>
        <v>0</v>
      </c>
      <c r="AO33" s="44">
        <v>0.5</v>
      </c>
      <c r="AP33" s="42">
        <f>AO33*$AQ26/AP$29</f>
        <v>332.2267517324002</v>
      </c>
      <c r="AQ33" s="44">
        <v>0.2</v>
      </c>
      <c r="AR33" s="42">
        <f>AQ33*$AQ26/AR$29</f>
        <v>97.453180508170718</v>
      </c>
      <c r="AS33" s="44">
        <v>0.1</v>
      </c>
      <c r="AT33" s="42">
        <f t="shared" ref="AT33" si="50">AS33*$AQ26/AT$29</f>
        <v>33.22267517324002</v>
      </c>
      <c r="AU33" s="44">
        <v>0.05</v>
      </c>
      <c r="AV33" s="42">
        <f t="shared" ref="AV33" si="51">AU33*$AQ26/AV$29</f>
        <v>12.18164756352134</v>
      </c>
      <c r="AW33" s="44">
        <v>0.15</v>
      </c>
      <c r="AX33" s="42">
        <f t="shared" ref="AX33" si="52">AW33*$AQ26/AX$29</f>
        <v>24.917006379930015</v>
      </c>
      <c r="AY33" s="42">
        <f t="shared" si="49"/>
        <v>365449.42690564017</v>
      </c>
    </row>
    <row r="34" spans="2:51" ht="16" customHeight="1" x14ac:dyDescent="0.35">
      <c r="B34" s="41" t="s">
        <v>380</v>
      </c>
      <c r="F34" s="342">
        <f>+AD22</f>
        <v>78210</v>
      </c>
      <c r="G34" s="329">
        <f>+'Public Benefits'!F7</f>
        <v>4666780.0120231472</v>
      </c>
      <c r="AM34" s="379" t="s">
        <v>17</v>
      </c>
      <c r="AN34" s="379"/>
      <c r="AO34" s="379"/>
      <c r="AP34" s="379">
        <f>+SUM(AP30:AP33)</f>
        <v>1005.9685886030237</v>
      </c>
      <c r="AQ34" s="379"/>
      <c r="AR34" s="379">
        <f>+SUM(AR30:AR33)</f>
        <v>295.08411932355364</v>
      </c>
      <c r="AS34" s="379"/>
      <c r="AT34" s="379">
        <f>+SUM(AT30:AT33)</f>
        <v>100.59685886030238</v>
      </c>
      <c r="AU34" s="379"/>
      <c r="AV34" s="379">
        <f>+SUM(AV30:AV33)</f>
        <v>36.885514915444205</v>
      </c>
      <c r="AW34" s="379"/>
      <c r="AX34" s="379">
        <f>+SUM(AX30:AX33)</f>
        <v>75.447644145226775</v>
      </c>
      <c r="AY34" s="379">
        <f>+SUM(AY30:AY33)</f>
        <v>1106565.4474633262</v>
      </c>
    </row>
    <row r="35" spans="2:51" ht="16" customHeight="1" x14ac:dyDescent="0.35">
      <c r="B35" s="41" t="s">
        <v>481</v>
      </c>
      <c r="F35" s="342">
        <f>+'Parcel Breakdown'!AD8</f>
        <v>19125</v>
      </c>
      <c r="G35" s="329">
        <f>+'Public Benefits'!F8</f>
        <v>1658323.101647825</v>
      </c>
      <c r="AM35" s="332" t="s">
        <v>30</v>
      </c>
      <c r="AN35" s="376" t="s">
        <v>478</v>
      </c>
      <c r="AP35" s="30"/>
      <c r="AQ35" s="378"/>
      <c r="AR35" s="30"/>
      <c r="AS35" s="378"/>
      <c r="AT35" s="30"/>
      <c r="AU35" s="378"/>
      <c r="AV35" s="30"/>
      <c r="AW35" s="378"/>
      <c r="AX35" s="30"/>
    </row>
    <row r="36" spans="2:51" ht="16" customHeight="1" x14ac:dyDescent="0.35">
      <c r="B36" s="41" t="s">
        <v>529</v>
      </c>
      <c r="F36" s="557">
        <v>30000</v>
      </c>
      <c r="G36" s="34">
        <f>+'Public Benefits'!F5</f>
        <v>2120002.8030162575</v>
      </c>
      <c r="AM36" s="41" t="s">
        <v>21</v>
      </c>
      <c r="AN36" s="377">
        <f>+SUM(AO36,AQ36,AS36,AU36,AW36)-1</f>
        <v>0</v>
      </c>
      <c r="AO36" s="108">
        <f>+AO30</f>
        <v>0.5</v>
      </c>
      <c r="AP36" s="42">
        <f>+AO36*$AP24/AP$29</f>
        <v>99.392350126746777</v>
      </c>
      <c r="AQ36" s="108">
        <f>+AQ30</f>
        <v>0.2</v>
      </c>
      <c r="AR36" s="42">
        <f>+AQ36*$AP24/AR$29</f>
        <v>29.155089370512389</v>
      </c>
      <c r="AS36" s="108">
        <f>+AS30</f>
        <v>0.1</v>
      </c>
      <c r="AT36" s="42">
        <f>+AS36*$AP24/AT$29</f>
        <v>9.9392350126746773</v>
      </c>
      <c r="AU36" s="108">
        <f>+AU30</f>
        <v>0.05</v>
      </c>
      <c r="AV36" s="42">
        <f>+AU36*$AP24/AV$29</f>
        <v>3.6443861713140486</v>
      </c>
      <c r="AW36" s="108">
        <f>+AW30</f>
        <v>0.15</v>
      </c>
      <c r="AX36" s="42">
        <f>+AW36*$AP24/AX$29</f>
        <v>7.4544262595060076</v>
      </c>
      <c r="AY36" s="42">
        <f>+(AX36*$AX$29+AV36*$AV$29+AT36*$AT$29+AR36*$AR$29+AP36*$AP$29)</f>
        <v>109331.58513942146</v>
      </c>
    </row>
    <row r="37" spans="2:51" ht="16" customHeight="1" x14ac:dyDescent="0.35">
      <c r="B37" s="41" t="s">
        <v>382</v>
      </c>
      <c r="F37" s="342">
        <f>+SUM(Infra!G31:I33)</f>
        <v>1731000</v>
      </c>
      <c r="G37" s="34">
        <f>+'Public Benefits'!F4</f>
        <v>16600823.36989807</v>
      </c>
      <c r="H37" s="41"/>
      <c r="AM37" s="41" t="s">
        <v>381</v>
      </c>
      <c r="AN37" s="377">
        <f>+SUM(AO37,AQ37,AS37,AU37,AW37)-1</f>
        <v>0</v>
      </c>
      <c r="AO37" s="108">
        <f>+AO31</f>
        <v>0.5</v>
      </c>
      <c r="AP37" s="42">
        <f>+AO37*$AP25/AP$29</f>
        <v>69.043109090909098</v>
      </c>
      <c r="AQ37" s="108">
        <f>+AQ31</f>
        <v>0.2</v>
      </c>
      <c r="AR37" s="42">
        <f>+AQ37*$AP25/AR$29</f>
        <v>20.252645333333337</v>
      </c>
      <c r="AS37" s="108">
        <f>+AS31</f>
        <v>0.1</v>
      </c>
      <c r="AT37" s="42">
        <f>+AS37*$AP25/AT$29</f>
        <v>6.9043109090909107</v>
      </c>
      <c r="AU37" s="108">
        <f>+AU31</f>
        <v>0.05</v>
      </c>
      <c r="AV37" s="42">
        <f>+AU37*$AP25/AV$29</f>
        <v>2.5315806666666671</v>
      </c>
      <c r="AW37" s="108">
        <f>+AW31</f>
        <v>0.15</v>
      </c>
      <c r="AX37" s="42">
        <f>+AW37*$AP25/AX$29</f>
        <v>5.1782331818181824</v>
      </c>
      <c r="AY37" s="42">
        <f t="shared" ref="AY37:AY38" si="53">+(AX37*$AX$29+AV37*$AV$29+AT37*$AT$29+AR37*$AR$29+AP37*$AP$29)</f>
        <v>75947.420000000013</v>
      </c>
    </row>
    <row r="38" spans="2:51" ht="16" customHeight="1" x14ac:dyDescent="0.35">
      <c r="B38" s="41" t="s">
        <v>677</v>
      </c>
      <c r="F38" s="342">
        <f>+Z23</f>
        <v>323241.01511111116</v>
      </c>
      <c r="G38" s="329">
        <f ca="1">+'Public Benefits'!F9</f>
        <v>7246836.9505206645</v>
      </c>
      <c r="AM38" s="41" t="s">
        <v>384</v>
      </c>
      <c r="AN38" s="377">
        <f>+SUM(AO38,AQ38,AS38,AU38,AW38)-1</f>
        <v>0</v>
      </c>
      <c r="AO38" s="108">
        <f t="shared" ref="AO38" si="54">+AO33</f>
        <v>0.5</v>
      </c>
      <c r="AP38" s="42">
        <f>+AO38*$AP26/AP$29</f>
        <v>83.056687933100051</v>
      </c>
      <c r="AQ38" s="108">
        <f t="shared" ref="AQ38" si="55">+AQ33</f>
        <v>0.2</v>
      </c>
      <c r="AR38" s="42">
        <f>+AQ38*$AP26/AR$29</f>
        <v>24.363295127042679</v>
      </c>
      <c r="AS38" s="108">
        <f t="shared" ref="AS38" si="56">+AS33</f>
        <v>0.1</v>
      </c>
      <c r="AT38" s="42">
        <f>+AS38*$AP26/AT$29</f>
        <v>8.3056687933100051</v>
      </c>
      <c r="AU38" s="108">
        <f t="shared" ref="AU38" si="57">+AU33</f>
        <v>0.05</v>
      </c>
      <c r="AV38" s="42">
        <f>+AU38*$AP26/AV$29</f>
        <v>3.0454118908803349</v>
      </c>
      <c r="AW38" s="108">
        <f t="shared" ref="AW38" si="58">+AW33</f>
        <v>0.15</v>
      </c>
      <c r="AX38" s="42">
        <f>+AW38*$AP26/AX$29</f>
        <v>6.2292515949825038</v>
      </c>
      <c r="AY38" s="42">
        <f t="shared" si="53"/>
        <v>91362.356726410042</v>
      </c>
    </row>
    <row r="39" spans="2:51" ht="16" customHeight="1" x14ac:dyDescent="0.35">
      <c r="AM39" s="379" t="s">
        <v>17</v>
      </c>
      <c r="AN39" s="379"/>
      <c r="AO39" s="379"/>
      <c r="AP39" s="379">
        <f>+SUM(AP36:AP38)</f>
        <v>251.49214715075593</v>
      </c>
      <c r="AQ39" s="379"/>
      <c r="AR39" s="379">
        <f>+SUM(AR36:AR38)</f>
        <v>73.771029830888409</v>
      </c>
      <c r="AS39" s="379"/>
      <c r="AT39" s="379">
        <f>+SUM(AT36:AT38)</f>
        <v>25.149214715075594</v>
      </c>
      <c r="AU39" s="379"/>
      <c r="AV39" s="379">
        <f>+SUM(AV36:AV38)</f>
        <v>9.2213787288610511</v>
      </c>
      <c r="AW39" s="379"/>
      <c r="AX39" s="379">
        <f>+SUM(AX36:AX38)</f>
        <v>18.861911036306694</v>
      </c>
      <c r="AY39" s="379">
        <f>+SUM(AY36:AY38)</f>
        <v>276641.36186583154</v>
      </c>
    </row>
    <row r="40" spans="2:51" ht="16" customHeight="1" x14ac:dyDescent="0.35">
      <c r="AP40" s="42"/>
      <c r="AR40" s="42"/>
      <c r="AT40" s="42"/>
      <c r="AV40" s="42"/>
      <c r="AX40" s="42"/>
    </row>
    <row r="41" spans="2:51" ht="16" customHeight="1" x14ac:dyDescent="0.35">
      <c r="AN41" s="327"/>
      <c r="AP41" s="375" t="s">
        <v>153</v>
      </c>
      <c r="AR41" s="42"/>
      <c r="AT41" s="42"/>
      <c r="AV41" s="42"/>
      <c r="AX41" s="42"/>
    </row>
    <row r="42" spans="2:51" ht="16" customHeight="1" x14ac:dyDescent="0.35">
      <c r="AM42" s="332" t="s">
        <v>26</v>
      </c>
      <c r="AN42" s="376"/>
      <c r="AP42" s="30">
        <f>+Assumptions!E94</f>
        <v>450</v>
      </c>
      <c r="AR42" s="42"/>
      <c r="AT42" s="42"/>
      <c r="AV42" s="42"/>
      <c r="AX42" s="42"/>
    </row>
    <row r="43" spans="2:51" ht="16" customHeight="1" x14ac:dyDescent="0.35">
      <c r="AM43" s="41" t="s">
        <v>21</v>
      </c>
      <c r="AN43" s="377"/>
      <c r="AO43" s="44"/>
      <c r="AP43" s="42">
        <f>$AS24/AP$42</f>
        <v>346.80700000000007</v>
      </c>
    </row>
    <row r="44" spans="2:51" ht="16" customHeight="1" x14ac:dyDescent="0.35">
      <c r="AM44" s="41" t="s">
        <v>381</v>
      </c>
      <c r="AN44" s="377"/>
      <c r="AO44" s="44"/>
      <c r="AP44" s="42">
        <f>$AS25/AP$42</f>
        <v>231.88266666666669</v>
      </c>
    </row>
    <row r="45" spans="2:51" ht="16" customHeight="1" x14ac:dyDescent="0.35">
      <c r="AM45" s="41" t="s">
        <v>384</v>
      </c>
      <c r="AN45" s="377"/>
      <c r="AO45" s="44"/>
      <c r="AP45" s="42">
        <f>$AS26/AP$42</f>
        <v>37.277688888888889</v>
      </c>
    </row>
    <row r="46" spans="2:51" ht="16" customHeight="1" x14ac:dyDescent="0.35">
      <c r="AM46" s="379" t="s">
        <v>17</v>
      </c>
      <c r="AN46" s="379"/>
      <c r="AO46" s="379"/>
      <c r="AP46" s="379">
        <f>+SUM(AP43:AP45)</f>
        <v>615.96735555555563</v>
      </c>
    </row>
    <row r="48" spans="2:51" ht="16" customHeight="1" x14ac:dyDescent="0.35">
      <c r="AN48" s="327"/>
      <c r="AP48" s="375" t="s">
        <v>489</v>
      </c>
      <c r="AR48" s="375" t="s">
        <v>490</v>
      </c>
    </row>
    <row r="49" spans="39:44" ht="16" customHeight="1" x14ac:dyDescent="0.35">
      <c r="AM49" s="332" t="s">
        <v>224</v>
      </c>
      <c r="AN49" s="376"/>
      <c r="AP49" s="30">
        <f>+Assumptions!$F$178</f>
        <v>330</v>
      </c>
      <c r="AR49" s="30">
        <f>+Assumptions!$F$178</f>
        <v>330</v>
      </c>
    </row>
    <row r="50" spans="39:44" ht="16" customHeight="1" x14ac:dyDescent="0.35">
      <c r="AM50" s="41" t="s">
        <v>21</v>
      </c>
      <c r="AN50" s="377"/>
      <c r="AO50" s="44"/>
      <c r="AP50" s="42">
        <f>+AW24/$AP$49</f>
        <v>251.5151515151515</v>
      </c>
      <c r="AR50" s="42">
        <f>+AX24/$AP$49</f>
        <v>0</v>
      </c>
    </row>
    <row r="51" spans="39:44" ht="16" customHeight="1" x14ac:dyDescent="0.35">
      <c r="AM51" s="41" t="s">
        <v>381</v>
      </c>
      <c r="AN51" s="377"/>
      <c r="AO51" s="44"/>
      <c r="AP51" s="42">
        <f>+AW25/$AP$49</f>
        <v>321.21212121212119</v>
      </c>
      <c r="AR51" s="42">
        <f t="shared" ref="AR51:AR52" si="59">+AX25/$AP$49</f>
        <v>0</v>
      </c>
    </row>
    <row r="52" spans="39:44" ht="16" customHeight="1" x14ac:dyDescent="0.35">
      <c r="AM52" s="41" t="s">
        <v>384</v>
      </c>
      <c r="AN52" s="377"/>
      <c r="AO52" s="44"/>
      <c r="AP52" s="42">
        <f>+AW26/$AP$49</f>
        <v>145.45454545454547</v>
      </c>
      <c r="AR52" s="42">
        <f t="shared" si="59"/>
        <v>454.54545454545456</v>
      </c>
    </row>
    <row r="53" spans="39:44" ht="16" customHeight="1" x14ac:dyDescent="0.35">
      <c r="AM53" s="379" t="s">
        <v>17</v>
      </c>
      <c r="AN53" s="379"/>
      <c r="AO53" s="379"/>
      <c r="AP53" s="379">
        <f>+SUM(AP50:AP52)</f>
        <v>718.18181818181824</v>
      </c>
      <c r="AR53" s="379">
        <f>+SUM(AR50:AR52)</f>
        <v>454.54545454545456</v>
      </c>
    </row>
  </sheetData>
  <mergeCells count="5">
    <mergeCell ref="Z3:AH3"/>
    <mergeCell ref="AP3:AX3"/>
    <mergeCell ref="AK3:AM3"/>
    <mergeCell ref="M3:U3"/>
    <mergeCell ref="V3:W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  <pageSetUpPr fitToPage="1"/>
  </sheetPr>
  <dimension ref="B1:AK80"/>
  <sheetViews>
    <sheetView showGridLines="0" topLeftCell="A38" zoomScale="55" zoomScaleNormal="55" workbookViewId="0">
      <selection activeCell="G50" sqref="G50"/>
    </sheetView>
  </sheetViews>
  <sheetFormatPr defaultColWidth="12.453125" defaultRowHeight="15.5" outlineLevelRow="1" x14ac:dyDescent="0.35"/>
  <cols>
    <col min="1" max="2" width="12.453125" style="18"/>
    <col min="3" max="3" width="23.453125" style="18" customWidth="1"/>
    <col min="4" max="6" width="12.453125" style="18"/>
    <col min="7" max="7" width="16.453125" style="18" bestFit="1" customWidth="1"/>
    <col min="8" max="10" width="14.453125" style="18" customWidth="1"/>
    <col min="11" max="11" width="14.81640625" style="18" bestFit="1" customWidth="1"/>
    <col min="12" max="20" width="14.453125" style="18" customWidth="1"/>
    <col min="21" max="21" width="13.453125" style="18" customWidth="1"/>
    <col min="22" max="22" width="5.453125" style="18" customWidth="1"/>
    <col min="23" max="26" width="10.453125" style="18" customWidth="1"/>
    <col min="27" max="27" width="1.453125" style="18" customWidth="1"/>
    <col min="28" max="31" width="10.453125" style="18" customWidth="1"/>
    <col min="32" max="32" width="4.453125" style="18" customWidth="1"/>
    <col min="33" max="33" width="15.81640625" style="18" customWidth="1"/>
    <col min="34" max="36" width="10.453125" style="18" customWidth="1"/>
    <col min="37" max="37" width="10.81640625" style="18" customWidth="1"/>
    <col min="38" max="16384" width="12.453125" style="18"/>
  </cols>
  <sheetData>
    <row r="1" spans="2:20" x14ac:dyDescent="0.35">
      <c r="B1" s="14"/>
      <c r="H1" s="25"/>
      <c r="I1" s="25"/>
      <c r="J1" s="25"/>
    </row>
    <row r="2" spans="2:20" x14ac:dyDescent="0.35">
      <c r="B2" s="7" t="s">
        <v>92</v>
      </c>
      <c r="C2" s="8"/>
      <c r="D2" s="16"/>
      <c r="E2" s="16"/>
      <c r="F2" s="8"/>
      <c r="G2" s="45" t="s">
        <v>17</v>
      </c>
      <c r="H2" s="127" t="str">
        <f>+Assumptions!F21</f>
        <v>I</v>
      </c>
      <c r="I2" s="127" t="str">
        <f>+Assumptions!G21</f>
        <v>II</v>
      </c>
      <c r="J2" s="127" t="str">
        <f>+Assumptions!H21</f>
        <v>III</v>
      </c>
    </row>
    <row r="3" spans="2:20" x14ac:dyDescent="0.35">
      <c r="B3" s="33" t="s">
        <v>633</v>
      </c>
      <c r="C3" s="9"/>
      <c r="D3" s="17"/>
      <c r="E3" s="9"/>
      <c r="F3" s="105">
        <f ca="1">+G3/Budget!$G$10</f>
        <v>27.542810296403676</v>
      </c>
      <c r="G3" s="48">
        <f ca="1">+SUM(H3:J3)</f>
        <v>122534162.10087904</v>
      </c>
      <c r="H3" s="34">
        <f ca="1">+H14</f>
        <v>51495790.787373006</v>
      </c>
      <c r="I3" s="34">
        <f ca="1">+I14</f>
        <v>18868356.37705791</v>
      </c>
      <c r="J3" s="34">
        <f ca="1">+J14</f>
        <v>52170014.936448134</v>
      </c>
      <c r="K3" s="34"/>
    </row>
    <row r="4" spans="2:20" x14ac:dyDescent="0.35">
      <c r="B4" s="12" t="s">
        <v>96</v>
      </c>
      <c r="C4" s="12"/>
      <c r="D4" s="12"/>
      <c r="E4" s="12"/>
      <c r="F4" s="106">
        <f ca="1">+G4/Budget!$G$10</f>
        <v>27.542810296403676</v>
      </c>
      <c r="G4" s="13">
        <f ca="1">+SUM(G3:G3)</f>
        <v>122534162.10087904</v>
      </c>
      <c r="H4" s="13">
        <f ca="1">+SUM(H3:H3)</f>
        <v>51495790.787373006</v>
      </c>
      <c r="I4" s="13">
        <f ca="1">+SUM(I3:I3)</f>
        <v>18868356.37705791</v>
      </c>
      <c r="J4" s="13">
        <f ca="1">+SUM(J3:J3)</f>
        <v>52170014.936448134</v>
      </c>
    </row>
    <row r="5" spans="2:20" x14ac:dyDescent="0.35">
      <c r="B5" s="9"/>
      <c r="C5" s="9"/>
      <c r="D5" s="9"/>
      <c r="E5" s="9"/>
      <c r="F5" s="9"/>
      <c r="G5" s="9"/>
      <c r="H5" s="9"/>
      <c r="I5" s="9"/>
      <c r="J5" s="9"/>
    </row>
    <row r="6" spans="2:20" x14ac:dyDescent="0.35">
      <c r="B6" s="15" t="s">
        <v>93</v>
      </c>
      <c r="C6" s="16"/>
      <c r="D6" s="16"/>
      <c r="E6" s="32"/>
      <c r="F6" s="32" t="s">
        <v>56</v>
      </c>
      <c r="G6" s="15" t="s">
        <v>17</v>
      </c>
      <c r="H6" s="23" t="str">
        <f>+H$2</f>
        <v>I</v>
      </c>
      <c r="I6" s="46" t="str">
        <f t="shared" ref="I6:J6" si="0">+I$2</f>
        <v>II</v>
      </c>
      <c r="J6" s="46" t="str">
        <f t="shared" si="0"/>
        <v>III</v>
      </c>
    </row>
    <row r="7" spans="2:20" x14ac:dyDescent="0.35">
      <c r="B7" s="9" t="s">
        <v>61</v>
      </c>
      <c r="C7" s="9"/>
      <c r="D7" s="17"/>
      <c r="E7" s="9"/>
      <c r="F7" s="105">
        <f ca="1">+G7/Budget!$G$10</f>
        <v>3.7853975032587792</v>
      </c>
      <c r="G7" s="27">
        <f t="shared" ref="G7:G13" si="1">+SUM(H7:J7)</f>
        <v>16840711.107142858</v>
      </c>
      <c r="H7" s="11">
        <f>+Budget!H24</f>
        <v>6900151</v>
      </c>
      <c r="I7" s="11">
        <f>+Budget!I24</f>
        <v>818973.10714285716</v>
      </c>
      <c r="J7" s="11">
        <f>+Budget!J24</f>
        <v>9121587</v>
      </c>
    </row>
    <row r="8" spans="2:20" x14ac:dyDescent="0.35">
      <c r="B8" s="9" t="s">
        <v>8</v>
      </c>
      <c r="C8" s="9"/>
      <c r="D8" s="17"/>
      <c r="E8" s="9"/>
      <c r="F8" s="105">
        <f ca="1">+G8/Budget!$G$10</f>
        <v>16.028778111391322</v>
      </c>
      <c r="G8" s="27">
        <f t="shared" si="1"/>
        <v>71309821.846200615</v>
      </c>
      <c r="H8" s="11">
        <f>+Budget!H31</f>
        <v>31353547.897872344</v>
      </c>
      <c r="I8" s="11">
        <f>+Budget!I31</f>
        <v>10461100</v>
      </c>
      <c r="J8" s="11">
        <f>+Budget!J31</f>
        <v>29495173.948328272</v>
      </c>
    </row>
    <row r="9" spans="2:20" x14ac:dyDescent="0.35">
      <c r="B9" s="9" t="s">
        <v>368</v>
      </c>
      <c r="C9" s="9"/>
      <c r="D9" s="17"/>
      <c r="E9" s="9"/>
      <c r="F9" s="105">
        <f ca="1">+G9/Budget!$G$10</f>
        <v>3.5964253330402249E-2</v>
      </c>
      <c r="G9" s="27">
        <f t="shared" si="1"/>
        <v>160000</v>
      </c>
      <c r="H9" s="11">
        <f>+Budget!H34</f>
        <v>160000</v>
      </c>
      <c r="I9" s="11">
        <f>+Budget!I34</f>
        <v>0</v>
      </c>
      <c r="J9" s="11">
        <f>+Budget!J34</f>
        <v>0</v>
      </c>
    </row>
    <row r="10" spans="2:20" x14ac:dyDescent="0.35">
      <c r="B10" s="9" t="s">
        <v>58</v>
      </c>
      <c r="C10" s="9"/>
      <c r="D10" s="17"/>
      <c r="E10" s="9"/>
      <c r="F10" s="105">
        <f ca="1">+G10/Budget!$G$10</f>
        <v>7.6926704284231739</v>
      </c>
      <c r="G10" s="27">
        <f t="shared" ca="1" si="1"/>
        <v>34223629.147535577</v>
      </c>
      <c r="H10" s="34">
        <f ca="1">+SUMPRODUCT(Budget!$E$49:$E$63,Budget!H$49:H$63)</f>
        <v>13082091.889500661</v>
      </c>
      <c r="I10" s="34">
        <f ca="1">+SUMPRODUCT(Budget!$E$49:$E$63,Budget!I$49:I$63)</f>
        <v>7588283.2699150536</v>
      </c>
      <c r="J10" s="34">
        <f ca="1">+SUMPRODUCT(Budget!$E$49:$E$63,Budget!J$49:J$63)</f>
        <v>13553253.988119861</v>
      </c>
      <c r="K10" s="34"/>
    </row>
    <row r="11" spans="2:20" x14ac:dyDescent="0.35">
      <c r="B11" s="9" t="s">
        <v>80</v>
      </c>
      <c r="C11" s="9"/>
      <c r="D11" s="17"/>
      <c r="E11" s="9"/>
      <c r="F11" s="105">
        <f ca="1">+G11/Budget!$G$10</f>
        <v>0</v>
      </c>
      <c r="G11" s="27">
        <f t="shared" si="1"/>
        <v>0</v>
      </c>
      <c r="H11" s="11">
        <v>0</v>
      </c>
      <c r="I11" s="11">
        <v>0</v>
      </c>
      <c r="J11" s="11">
        <v>0</v>
      </c>
    </row>
    <row r="12" spans="2:20" x14ac:dyDescent="0.35">
      <c r="B12" s="9" t="s">
        <v>83</v>
      </c>
      <c r="C12" s="9"/>
      <c r="D12" s="17"/>
      <c r="E12" s="9"/>
      <c r="F12" s="105">
        <f ca="1">+G12/Budget!$G$10</f>
        <v>0</v>
      </c>
      <c r="G12" s="27">
        <f t="shared" si="1"/>
        <v>0</v>
      </c>
      <c r="H12" s="11">
        <v>0</v>
      </c>
      <c r="I12" s="11">
        <v>0</v>
      </c>
      <c r="J12" s="11">
        <v>0</v>
      </c>
    </row>
    <row r="13" spans="2:20" x14ac:dyDescent="0.35">
      <c r="B13" s="9" t="s">
        <v>60</v>
      </c>
      <c r="C13" s="9"/>
      <c r="D13" s="22"/>
      <c r="E13" s="9"/>
      <c r="F13" s="105">
        <f ca="1">+G13/Budget!$G$10</f>
        <v>0</v>
      </c>
      <c r="G13" s="27">
        <f t="shared" ca="1" si="1"/>
        <v>0</v>
      </c>
      <c r="H13" s="11">
        <f ca="1">+Budget!$E$79*Budget!H79</f>
        <v>0</v>
      </c>
      <c r="I13" s="11">
        <f ca="1">+Budget!$E$79*Budget!I79</f>
        <v>0</v>
      </c>
      <c r="J13" s="11">
        <f ca="1">+Budget!$E$79*Budget!J79</f>
        <v>0</v>
      </c>
    </row>
    <row r="14" spans="2:20" x14ac:dyDescent="0.35">
      <c r="B14" s="12" t="s">
        <v>97</v>
      </c>
      <c r="C14" s="12"/>
      <c r="D14" s="12"/>
      <c r="E14" s="12"/>
      <c r="F14" s="106">
        <f ca="1">+G14/Budget!$G$10</f>
        <v>27.542810296403676</v>
      </c>
      <c r="G14" s="13">
        <f t="shared" ref="G14:J14" ca="1" si="2">+SUM(G7:G13)</f>
        <v>122534162.10087906</v>
      </c>
      <c r="H14" s="13">
        <f t="shared" ca="1" si="2"/>
        <v>51495790.787373006</v>
      </c>
      <c r="I14" s="13">
        <f t="shared" ca="1" si="2"/>
        <v>18868356.37705791</v>
      </c>
      <c r="J14" s="13">
        <f t="shared" ca="1" si="2"/>
        <v>52170014.936448134</v>
      </c>
    </row>
    <row r="15" spans="2:20" x14ac:dyDescent="0.35">
      <c r="B15" s="9"/>
      <c r="C15" s="9"/>
      <c r="D15" s="9"/>
      <c r="E15" s="9"/>
      <c r="F15" s="9"/>
      <c r="G15" s="9"/>
      <c r="H15" s="9"/>
      <c r="I15" s="9"/>
      <c r="J15" s="9"/>
    </row>
    <row r="16" spans="2:20" x14ac:dyDescent="0.35">
      <c r="B16" s="7" t="s">
        <v>94</v>
      </c>
      <c r="C16" s="8"/>
      <c r="D16" s="16"/>
      <c r="E16" s="16"/>
      <c r="F16" s="8"/>
      <c r="G16" s="7" t="s">
        <v>17</v>
      </c>
      <c r="H16" s="46" t="str">
        <f t="shared" ref="H16:J16" si="3">+H$2</f>
        <v>I</v>
      </c>
      <c r="I16" s="46" t="str">
        <f t="shared" si="3"/>
        <v>II</v>
      </c>
      <c r="J16" s="46" t="str">
        <f t="shared" si="3"/>
        <v>III</v>
      </c>
      <c r="L16" s="7" t="s">
        <v>102</v>
      </c>
      <c r="M16" s="8"/>
      <c r="N16" s="16"/>
      <c r="O16" s="16"/>
      <c r="P16" s="8"/>
      <c r="Q16" s="7" t="s">
        <v>17</v>
      </c>
      <c r="R16" s="46" t="str">
        <f>+H$2</f>
        <v>I</v>
      </c>
      <c r="S16" s="46" t="str">
        <f>+I$2</f>
        <v>II</v>
      </c>
      <c r="T16" s="46" t="str">
        <f>+J$2</f>
        <v>III</v>
      </c>
    </row>
    <row r="17" spans="2:20" x14ac:dyDescent="0.35">
      <c r="B17" s="9" t="s">
        <v>336</v>
      </c>
      <c r="C17" s="9"/>
      <c r="D17" s="17"/>
      <c r="E17" s="9"/>
      <c r="F17" s="105">
        <f ca="1">+G17/Budget!$G$10</f>
        <v>136.8802285486293</v>
      </c>
      <c r="G17" s="29">
        <f t="shared" ref="G17:G23" ca="1" si="4">+SUM(H17:J17)</f>
        <v>608961247.34131205</v>
      </c>
      <c r="H17" s="39">
        <f ca="1">+MIN(Assumptions!N143*Budget!H82,'Loan Sizing'!F64)</f>
        <v>239786815.25509921</v>
      </c>
      <c r="I17" s="39">
        <f ca="1">+MIN(Assumptions!O143*Budget!I82,'Loan Sizing'!G64)</f>
        <v>133045986.39422178</v>
      </c>
      <c r="J17" s="39">
        <f ca="1">+MIN(Assumptions!P143*Budget!J82,'Loan Sizing'!H64)</f>
        <v>236128445.69199109</v>
      </c>
      <c r="K17" s="39"/>
      <c r="L17" s="9" t="s">
        <v>101</v>
      </c>
      <c r="M17" s="33"/>
      <c r="N17" s="40"/>
      <c r="O17" s="33"/>
      <c r="P17" s="105">
        <f ca="1">+Q17/Budget!$G$10</f>
        <v>128.14614022194922</v>
      </c>
      <c r="Q17" s="48">
        <f t="shared" ref="Q17:Q25" ca="1" si="5">+SUM(R17:T17)</f>
        <v>570104493.68010163</v>
      </c>
      <c r="R17" s="34">
        <f ca="1">+'Loan Sizing'!F28</f>
        <v>213275542.18726224</v>
      </c>
      <c r="S17" s="34">
        <f ca="1">+'Loan Sizing'!G28</f>
        <v>119131014.3601854</v>
      </c>
      <c r="T17" s="34">
        <f ca="1">+'Loan Sizing'!H28</f>
        <v>237697937.13265392</v>
      </c>
    </row>
    <row r="18" spans="2:20" x14ac:dyDescent="0.35">
      <c r="B18" s="9" t="s">
        <v>98</v>
      </c>
      <c r="C18" s="9"/>
      <c r="D18" s="17"/>
      <c r="E18" s="9"/>
      <c r="F18" s="105">
        <f ca="1">+G18/Budget!$G$10</f>
        <v>40.92033344410396</v>
      </c>
      <c r="G18" s="48">
        <f t="shared" ca="1" si="4"/>
        <v>182048916.48680317</v>
      </c>
      <c r="H18" s="118">
        <f ca="1">+INDEX('Taxes and TIF'!$B$47:$AT$47,1,MATCH('S&amp;U'!H$16,'Taxes and TIF'!$B$48:$AT$48,0))</f>
        <v>74189767.741794825</v>
      </c>
      <c r="I18" s="118">
        <f ca="1">+INDEX('Taxes and TIF'!$B$47:$AT$47,1,MATCH('S&amp;U'!I$16,'Taxes and TIF'!$B$48:$AT$48,0))</f>
        <v>43584912.158747993</v>
      </c>
      <c r="J18" s="118">
        <f ca="1">+INDEX('Taxes and TIF'!$B$47:$AT$47,1,MATCH('S&amp;U'!J$16,'Taxes and TIF'!$B$48:$AT$48,0))</f>
        <v>64274236.586260393</v>
      </c>
      <c r="L18" s="33" t="s">
        <v>167</v>
      </c>
      <c r="M18" s="33"/>
      <c r="N18" s="40"/>
      <c r="O18" s="33"/>
      <c r="P18" s="105">
        <f ca="1">+Q18/Budget!$G$10</f>
        <v>23.861456867150601</v>
      </c>
      <c r="Q18" s="48">
        <f t="shared" ca="1" si="5"/>
        <v>106156328.72090535</v>
      </c>
      <c r="R18" s="34">
        <f ca="1">+'Loan Sizing'!F44</f>
        <v>61492153.068216205</v>
      </c>
      <c r="S18" s="34">
        <f ca="1">+'Loan Sizing'!G44</f>
        <v>38593085.568527728</v>
      </c>
      <c r="T18" s="34">
        <f ca="1">+'Loan Sizing'!H44</f>
        <v>6071090.084161412</v>
      </c>
    </row>
    <row r="19" spans="2:20" hidden="1" outlineLevel="1" x14ac:dyDescent="0.35">
      <c r="B19" s="9" t="s">
        <v>332</v>
      </c>
      <c r="C19" s="9"/>
      <c r="D19" s="17"/>
      <c r="E19" s="9"/>
      <c r="F19" s="105">
        <f ca="1">+G19/Budget!$G$10</f>
        <v>0</v>
      </c>
      <c r="G19" s="48">
        <f t="shared" si="4"/>
        <v>0</v>
      </c>
      <c r="H19" s="118">
        <f>+Assumptions!N173</f>
        <v>0</v>
      </c>
      <c r="I19" s="118">
        <f>+Assumptions!O173</f>
        <v>0</v>
      </c>
      <c r="J19" s="118">
        <f>+Assumptions!P173</f>
        <v>0</v>
      </c>
      <c r="L19" s="33" t="s">
        <v>265</v>
      </c>
      <c r="M19" s="33"/>
      <c r="N19" s="40"/>
      <c r="O19" s="33"/>
      <c r="P19" s="105">
        <f ca="1">+Q19/Budget!$G$10</f>
        <v>8.7809795696723025</v>
      </c>
      <c r="Q19" s="48">
        <f t="shared" ca="1" si="5"/>
        <v>39065366.330291457</v>
      </c>
      <c r="R19" s="34">
        <f ca="1">+'Loan Sizing'!F60</f>
        <v>1.5381818181818178E-4</v>
      </c>
      <c r="S19" s="34">
        <f ca="1">+'Loan Sizing'!G60</f>
        <v>1.6003243636363636E-4</v>
      </c>
      <c r="T19" s="34">
        <f ca="1">+'Loan Sizing'!H60</f>
        <v>39065366.329977609</v>
      </c>
    </row>
    <row r="20" spans="2:20" collapsed="1" x14ac:dyDescent="0.35">
      <c r="B20" s="9" t="s">
        <v>625</v>
      </c>
      <c r="C20" s="9"/>
      <c r="D20" s="17"/>
      <c r="E20" s="9"/>
      <c r="F20" s="105">
        <f ca="1">+G20/Budget!$G$10</f>
        <v>7.2315421166717355</v>
      </c>
      <c r="G20" s="48">
        <f t="shared" si="4"/>
        <v>32172132.924260452</v>
      </c>
      <c r="H20" s="34">
        <f>+Assumptions!N176*Assumptions!N177</f>
        <v>12714766.389964083</v>
      </c>
      <c r="I20" s="34">
        <f>+Assumptions!O176*Assumptions!O177</f>
        <v>8832339.7304545473</v>
      </c>
      <c r="J20" s="34">
        <f>+Assumptions!P176*Assumptions!P177</f>
        <v>10625026.803841824</v>
      </c>
      <c r="L20" s="9" t="s">
        <v>98</v>
      </c>
      <c r="M20" s="33"/>
      <c r="N20" s="40"/>
      <c r="O20" s="33"/>
      <c r="P20" s="105">
        <f ca="1">+Q20/Budget!$G$10</f>
        <v>40.92033344410396</v>
      </c>
      <c r="Q20" s="48">
        <f t="shared" ca="1" si="5"/>
        <v>182048916.48680317</v>
      </c>
      <c r="R20" s="34">
        <f t="shared" ref="R20:T24" ca="1" si="6">+H18</f>
        <v>74189767.741794825</v>
      </c>
      <c r="S20" s="34">
        <f t="shared" ca="1" si="6"/>
        <v>43584912.158747993</v>
      </c>
      <c r="T20" s="34">
        <f t="shared" ca="1" si="6"/>
        <v>64274236.586260393</v>
      </c>
    </row>
    <row r="21" spans="2:20" x14ac:dyDescent="0.35">
      <c r="B21" s="33" t="s">
        <v>626</v>
      </c>
      <c r="C21" s="9"/>
      <c r="D21" s="17"/>
      <c r="E21" s="9"/>
      <c r="F21" s="105">
        <f ca="1">+G21/Budget!$G$10</f>
        <v>2.4896254368111213</v>
      </c>
      <c r="G21" s="48">
        <f t="shared" si="4"/>
        <v>11076000.000062399</v>
      </c>
      <c r="H21" s="34">
        <f>+Assumptions!N185*Assumptions!N186+Assumptions!N189*Assumptions!N190</f>
        <v>5538000</v>
      </c>
      <c r="I21" s="34">
        <f>+Assumptions!O185*Assumptions!O186+Assumptions!O189*Assumptions!O190</f>
        <v>6.2400000000000012E-5</v>
      </c>
      <c r="J21" s="34">
        <f>+Assumptions!P185*Assumptions!P186+Assumptions!P189*Assumptions!P190</f>
        <v>5538000</v>
      </c>
      <c r="L21" s="33" t="s">
        <v>332</v>
      </c>
      <c r="M21" s="33"/>
      <c r="N21" s="40"/>
      <c r="O21" s="33"/>
      <c r="P21" s="105">
        <f ca="1">+Q21/Budget!$G$10</f>
        <v>0</v>
      </c>
      <c r="Q21" s="48">
        <f t="shared" si="5"/>
        <v>0</v>
      </c>
      <c r="R21" s="34">
        <f t="shared" si="6"/>
        <v>0</v>
      </c>
      <c r="S21" s="34">
        <f t="shared" si="6"/>
        <v>0</v>
      </c>
      <c r="T21" s="34">
        <f t="shared" si="6"/>
        <v>0</v>
      </c>
    </row>
    <row r="22" spans="2:20" s="41" customFormat="1" x14ac:dyDescent="0.35">
      <c r="B22" s="33" t="s">
        <v>621</v>
      </c>
      <c r="C22" s="33"/>
      <c r="D22" s="40"/>
      <c r="E22" s="33"/>
      <c r="F22" s="105">
        <f ca="1">+G22/Budget!$G$10</f>
        <v>0.73194690405709062</v>
      </c>
      <c r="G22" s="48">
        <f t="shared" ca="1" si="4"/>
        <v>3256330.7674772362</v>
      </c>
      <c r="H22" s="34">
        <f ca="1">+Assumptions!N181*Assumptions!N182</f>
        <v>3256330.7674772362</v>
      </c>
      <c r="I22" s="34">
        <f>+Assumptions!O181*Assumptions!O182</f>
        <v>0</v>
      </c>
      <c r="J22" s="34">
        <f>+Assumptions!P181*Assumptions!P182</f>
        <v>0</v>
      </c>
      <c r="L22" s="33" t="s">
        <v>625</v>
      </c>
      <c r="M22" s="33"/>
      <c r="N22" s="40"/>
      <c r="O22" s="33"/>
      <c r="P22" s="105">
        <f ca="1">+Q22/Budget!$G$10</f>
        <v>7.2315421166717355</v>
      </c>
      <c r="Q22" s="48">
        <f t="shared" si="5"/>
        <v>32172132.924260452</v>
      </c>
      <c r="R22" s="34">
        <f t="shared" si="6"/>
        <v>12714766.389964083</v>
      </c>
      <c r="S22" s="34">
        <f t="shared" si="6"/>
        <v>8832339.7304545473</v>
      </c>
      <c r="T22" s="34">
        <f t="shared" si="6"/>
        <v>10625026.803841824</v>
      </c>
    </row>
    <row r="23" spans="2:20" x14ac:dyDescent="0.35">
      <c r="B23" s="9" t="s">
        <v>633</v>
      </c>
      <c r="C23" s="9"/>
      <c r="D23" s="17"/>
      <c r="E23" s="9"/>
      <c r="F23" s="105">
        <f ca="1">+G23/Budget!$G$10</f>
        <v>39.88003779744232</v>
      </c>
      <c r="G23" s="48">
        <f t="shared" ca="1" si="4"/>
        <v>177420784.71560487</v>
      </c>
      <c r="H23" s="34">
        <f ca="1">+H36-SUM(H17:H22)</f>
        <v>64159011.937496722</v>
      </c>
      <c r="I23" s="34">
        <f ca="1">+I36-SUM(I17:I22)</f>
        <v>36280072.373549581</v>
      </c>
      <c r="J23" s="34">
        <f ca="1">+J36-SUM(J17:J22)</f>
        <v>76981700.404558539</v>
      </c>
      <c r="L23" s="33" t="s">
        <v>626</v>
      </c>
      <c r="M23" s="33"/>
      <c r="N23" s="40"/>
      <c r="O23" s="33"/>
      <c r="P23" s="105">
        <f ca="1">+Q23/Budget!$G$10</f>
        <v>2.4896254368111213</v>
      </c>
      <c r="Q23" s="48">
        <f t="shared" si="5"/>
        <v>11076000.000062399</v>
      </c>
      <c r="R23" s="34">
        <f t="shared" si="6"/>
        <v>5538000</v>
      </c>
      <c r="S23" s="34">
        <f t="shared" si="6"/>
        <v>6.2400000000000012E-5</v>
      </c>
      <c r="T23" s="34">
        <f t="shared" si="6"/>
        <v>5538000</v>
      </c>
    </row>
    <row r="24" spans="2:20" x14ac:dyDescent="0.35">
      <c r="L24" s="33" t="s">
        <v>621</v>
      </c>
      <c r="M24" s="33"/>
      <c r="N24" s="40"/>
      <c r="O24" s="33"/>
      <c r="P24" s="105">
        <f ca="1">+Q24/Budget!$G$10</f>
        <v>0.73194690405709062</v>
      </c>
      <c r="Q24" s="48">
        <f t="shared" ref="Q24" ca="1" si="7">+SUM(R24:T24)</f>
        <v>3256330.7674772362</v>
      </c>
      <c r="R24" s="34">
        <f t="shared" ca="1" si="6"/>
        <v>3256330.7674772362</v>
      </c>
      <c r="S24" s="34">
        <f t="shared" si="6"/>
        <v>0</v>
      </c>
      <c r="T24" s="34">
        <f t="shared" si="6"/>
        <v>0</v>
      </c>
    </row>
    <row r="25" spans="2:20" x14ac:dyDescent="0.35">
      <c r="B25" s="9"/>
      <c r="C25" s="9"/>
      <c r="D25" s="9"/>
      <c r="E25" s="9"/>
      <c r="F25" s="9"/>
      <c r="G25" s="9"/>
      <c r="H25" s="9"/>
      <c r="I25" s="9"/>
      <c r="J25" s="9"/>
      <c r="L25" s="33" t="s">
        <v>633</v>
      </c>
      <c r="M25" s="33"/>
      <c r="N25" s="44"/>
      <c r="O25" s="33"/>
      <c r="P25" s="105">
        <f ca="1">+Q25/Budget!$G$10</f>
        <v>15.971689687299472</v>
      </c>
      <c r="Q25" s="48">
        <f t="shared" ca="1" si="5"/>
        <v>71055843.325618416</v>
      </c>
      <c r="R25" s="34">
        <f ca="1">+R36-SUM(R17:R24)</f>
        <v>29178131.936963618</v>
      </c>
      <c r="S25" s="34">
        <f ca="1">+S36-SUM(S17:S24)</f>
        <v>11601958.838898182</v>
      </c>
      <c r="T25" s="34">
        <f ca="1">+T36-SUM(T17:T24)</f>
        <v>30275752.549756706</v>
      </c>
    </row>
    <row r="26" spans="2:20" x14ac:dyDescent="0.35">
      <c r="B26" s="12" t="s">
        <v>96</v>
      </c>
      <c r="C26" s="12"/>
      <c r="D26" s="12"/>
      <c r="E26" s="12"/>
      <c r="F26" s="106">
        <f ca="1">+G26/Budget!$G$10</f>
        <v>228.13371424771552</v>
      </c>
      <c r="G26" s="13">
        <f ca="1">+SUM(G17:G23)</f>
        <v>1014935412.2355202</v>
      </c>
      <c r="H26" s="13">
        <f ca="1">+SUM(H17:H23)</f>
        <v>399644692.09183204</v>
      </c>
      <c r="I26" s="13">
        <f ca="1">+SUM(I17:I23)</f>
        <v>221743310.6570363</v>
      </c>
      <c r="J26" s="13">
        <f ca="1">+SUM(J17:J23)</f>
        <v>393547409.48665184</v>
      </c>
      <c r="L26" s="12" t="s">
        <v>96</v>
      </c>
      <c r="M26" s="35"/>
      <c r="N26" s="35"/>
      <c r="O26" s="35"/>
      <c r="P26" s="106">
        <f ca="1">+Q26/Budget!$G$10</f>
        <v>228.13371424771552</v>
      </c>
      <c r="Q26" s="36">
        <f t="shared" ref="Q26:T26" ca="1" si="8">+SUM(Q17:Q25)</f>
        <v>1014935412.2355201</v>
      </c>
      <c r="R26" s="36">
        <f t="shared" ca="1" si="8"/>
        <v>399644692.09183204</v>
      </c>
      <c r="S26" s="36">
        <f t="shared" ca="1" si="8"/>
        <v>221743310.6570363</v>
      </c>
      <c r="T26" s="36">
        <f t="shared" ca="1" si="8"/>
        <v>393547409.48665184</v>
      </c>
    </row>
    <row r="28" spans="2:20" x14ac:dyDescent="0.35">
      <c r="B28" s="15" t="s">
        <v>95</v>
      </c>
      <c r="C28" s="16"/>
      <c r="D28" s="16"/>
      <c r="E28" s="16"/>
      <c r="F28" s="16"/>
      <c r="G28" s="15" t="s">
        <v>17</v>
      </c>
      <c r="H28" s="46" t="str">
        <f>+H$2</f>
        <v>I</v>
      </c>
      <c r="I28" s="46" t="str">
        <f>+I$2</f>
        <v>II</v>
      </c>
      <c r="J28" s="46" t="str">
        <f>+J$2</f>
        <v>III</v>
      </c>
      <c r="L28" s="15" t="s">
        <v>103</v>
      </c>
      <c r="M28" s="16"/>
      <c r="N28" s="16"/>
      <c r="O28" s="16"/>
      <c r="P28" s="16"/>
      <c r="Q28" s="15" t="s">
        <v>17</v>
      </c>
      <c r="R28" s="46" t="str">
        <f>+H$2</f>
        <v>I</v>
      </c>
      <c r="S28" s="46" t="str">
        <f>+I$2</f>
        <v>II</v>
      </c>
      <c r="T28" s="46" t="str">
        <f>+J$2</f>
        <v>III</v>
      </c>
    </row>
    <row r="29" spans="2:20" x14ac:dyDescent="0.35">
      <c r="B29" s="9" t="s">
        <v>61</v>
      </c>
      <c r="C29" s="9"/>
      <c r="D29" s="17"/>
      <c r="E29" s="9"/>
      <c r="F29" s="105">
        <f ca="1">+G29/Budget!$G$10</f>
        <v>3.7853975032587792</v>
      </c>
      <c r="G29" s="48">
        <f t="shared" ref="G29:G35" si="9">+SUM(H29:J29)</f>
        <v>16840711.107142858</v>
      </c>
      <c r="H29" s="11">
        <f>+Budget!H24</f>
        <v>6900151</v>
      </c>
      <c r="I29" s="34">
        <f>+Budget!I24</f>
        <v>818973.10714285716</v>
      </c>
      <c r="J29" s="34">
        <f>+Budget!J24</f>
        <v>9121587</v>
      </c>
      <c r="L29" s="9" t="s">
        <v>61</v>
      </c>
      <c r="M29" s="9"/>
      <c r="N29" s="17"/>
      <c r="O29" s="9"/>
      <c r="P29" s="105">
        <f ca="1">+Q29/Budget!$G$10</f>
        <v>3.7853975032587792</v>
      </c>
      <c r="Q29" s="48">
        <f t="shared" ref="Q29:Q35" si="10">+SUM(R29:T29)</f>
        <v>16840711.107142858</v>
      </c>
      <c r="R29" s="11">
        <f t="shared" ref="R29:T35" si="11">+H29</f>
        <v>6900151</v>
      </c>
      <c r="S29" s="11">
        <f t="shared" si="11"/>
        <v>818973.10714285716</v>
      </c>
      <c r="T29" s="11">
        <f t="shared" si="11"/>
        <v>9121587</v>
      </c>
    </row>
    <row r="30" spans="2:20" x14ac:dyDescent="0.35">
      <c r="B30" s="9" t="s">
        <v>8</v>
      </c>
      <c r="C30" s="9"/>
      <c r="D30" s="17"/>
      <c r="E30" s="9"/>
      <c r="F30" s="105">
        <f ca="1">+G30/Budget!$G$10</f>
        <v>16.028778111391322</v>
      </c>
      <c r="G30" s="48">
        <f t="shared" si="9"/>
        <v>71309821.846200615</v>
      </c>
      <c r="H30" s="11">
        <f>+Budget!H31</f>
        <v>31353547.897872344</v>
      </c>
      <c r="I30" s="34">
        <f>+Budget!I31</f>
        <v>10461100</v>
      </c>
      <c r="J30" s="34">
        <f>+Budget!J31</f>
        <v>29495173.948328272</v>
      </c>
      <c r="L30" s="9" t="s">
        <v>8</v>
      </c>
      <c r="M30" s="9"/>
      <c r="N30" s="17"/>
      <c r="O30" s="9"/>
      <c r="P30" s="105">
        <f ca="1">+Q30/Budget!$G$10</f>
        <v>16.028778111391322</v>
      </c>
      <c r="Q30" s="48">
        <f t="shared" si="10"/>
        <v>71309821.846200615</v>
      </c>
      <c r="R30" s="11">
        <f t="shared" si="11"/>
        <v>31353547.897872344</v>
      </c>
      <c r="S30" s="11">
        <f t="shared" si="11"/>
        <v>10461100</v>
      </c>
      <c r="T30" s="11">
        <f t="shared" si="11"/>
        <v>29495173.948328272</v>
      </c>
    </row>
    <row r="31" spans="2:20" x14ac:dyDescent="0.35">
      <c r="B31" s="9" t="s">
        <v>57</v>
      </c>
      <c r="C31" s="9"/>
      <c r="D31" s="17"/>
      <c r="E31" s="9"/>
      <c r="F31" s="105">
        <f ca="1">+G31/Budget!$G$10</f>
        <v>171.47544027968078</v>
      </c>
      <c r="G31" s="48">
        <f t="shared" ca="1" si="9"/>
        <v>762870570.19354117</v>
      </c>
      <c r="H31" s="11">
        <f ca="1">+Budget!H45</f>
        <v>297663456.66999996</v>
      </c>
      <c r="I31" s="34">
        <f ca="1">+Budget!I45</f>
        <v>174155529.98339999</v>
      </c>
      <c r="J31" s="34">
        <f ca="1">+Budget!J45</f>
        <v>291051583.54014122</v>
      </c>
      <c r="L31" s="9" t="s">
        <v>57</v>
      </c>
      <c r="M31" s="9"/>
      <c r="N31" s="17"/>
      <c r="O31" s="9"/>
      <c r="P31" s="105">
        <f ca="1">+Q31/Budget!$G$10</f>
        <v>171.47544027968078</v>
      </c>
      <c r="Q31" s="48">
        <f t="shared" ca="1" si="10"/>
        <v>762870570.19354117</v>
      </c>
      <c r="R31" s="11">
        <f t="shared" ca="1" si="11"/>
        <v>297663456.66999996</v>
      </c>
      <c r="S31" s="11">
        <f t="shared" ca="1" si="11"/>
        <v>174155529.98339999</v>
      </c>
      <c r="T31" s="11">
        <f t="shared" ca="1" si="11"/>
        <v>291051583.54014122</v>
      </c>
    </row>
    <row r="32" spans="2:20" x14ac:dyDescent="0.35">
      <c r="B32" s="9" t="s">
        <v>58</v>
      </c>
      <c r="C32" s="9"/>
      <c r="D32" s="17"/>
      <c r="E32" s="9"/>
      <c r="F32" s="105">
        <f ca="1">+G32/Budget!$G$10</f>
        <v>13.720764511543058</v>
      </c>
      <c r="G32" s="48">
        <f t="shared" ca="1" si="9"/>
        <v>61041787.846352473</v>
      </c>
      <c r="H32" s="11">
        <f ca="1">+Budget!H64</f>
        <v>23359191.388517704</v>
      </c>
      <c r="I32" s="34">
        <f ca="1">+Budget!I64</f>
        <v>13372221.469901217</v>
      </c>
      <c r="J32" s="34">
        <f ca="1">+Budget!J64</f>
        <v>24310374.98793355</v>
      </c>
      <c r="L32" s="9" t="s">
        <v>58</v>
      </c>
      <c r="M32" s="9"/>
      <c r="N32" s="17"/>
      <c r="O32" s="9"/>
      <c r="P32" s="105">
        <f ca="1">+Q32/Budget!$G$10</f>
        <v>13.720764511543058</v>
      </c>
      <c r="Q32" s="48">
        <f t="shared" ca="1" si="10"/>
        <v>61041787.846352473</v>
      </c>
      <c r="R32" s="11">
        <f t="shared" ca="1" si="11"/>
        <v>23359191.388517704</v>
      </c>
      <c r="S32" s="11">
        <f t="shared" ca="1" si="11"/>
        <v>13372221.469901217</v>
      </c>
      <c r="T32" s="11">
        <f t="shared" ca="1" si="11"/>
        <v>24310374.98793355</v>
      </c>
    </row>
    <row r="33" spans="2:37" x14ac:dyDescent="0.35">
      <c r="B33" s="9" t="s">
        <v>80</v>
      </c>
      <c r="C33" s="9"/>
      <c r="D33" s="17"/>
      <c r="E33" s="9"/>
      <c r="F33" s="105">
        <f ca="1">+G33/Budget!$G$10</f>
        <v>16.139363682654583</v>
      </c>
      <c r="G33" s="48">
        <f t="shared" ca="1" si="9"/>
        <v>71801801.79194203</v>
      </c>
      <c r="H33" s="11">
        <f ca="1">+Budget!H71</f>
        <v>28164860.643364143</v>
      </c>
      <c r="I33" s="34">
        <f ca="1">+Budget!I71</f>
        <v>16056189.021147538</v>
      </c>
      <c r="J33" s="34">
        <f ca="1">+Budget!J71</f>
        <v>27580752.127430357</v>
      </c>
      <c r="L33" s="9" t="s">
        <v>80</v>
      </c>
      <c r="M33" s="9"/>
      <c r="N33" s="17"/>
      <c r="O33" s="9"/>
      <c r="P33" s="105">
        <f ca="1">+Q33/Budget!$G$10</f>
        <v>16.139363682654583</v>
      </c>
      <c r="Q33" s="48">
        <f t="shared" ca="1" si="10"/>
        <v>71801801.79194203</v>
      </c>
      <c r="R33" s="11">
        <f t="shared" ca="1" si="11"/>
        <v>28164860.643364143</v>
      </c>
      <c r="S33" s="11">
        <f t="shared" ca="1" si="11"/>
        <v>16056189.021147538</v>
      </c>
      <c r="T33" s="11">
        <f t="shared" ca="1" si="11"/>
        <v>27580752.127430357</v>
      </c>
    </row>
    <row r="34" spans="2:37" x14ac:dyDescent="0.35">
      <c r="B34" s="9" t="s">
        <v>83</v>
      </c>
      <c r="C34" s="9"/>
      <c r="D34" s="17"/>
      <c r="E34" s="9"/>
      <c r="F34" s="105">
        <f ca="1">+G34/Budget!$G$10</f>
        <v>0.44955316663002809</v>
      </c>
      <c r="G34" s="48">
        <f t="shared" ca="1" si="9"/>
        <v>2000000</v>
      </c>
      <c r="H34" s="11">
        <f ca="1">+Budget!H76</f>
        <v>764323.10105370777</v>
      </c>
      <c r="I34" s="34">
        <f ca="1">+Budget!I76</f>
        <v>444607.63224393112</v>
      </c>
      <c r="J34" s="34">
        <f ca="1">+Budget!J76</f>
        <v>791069.26670236117</v>
      </c>
      <c r="L34" s="9" t="s">
        <v>83</v>
      </c>
      <c r="M34" s="9"/>
      <c r="N34" s="17"/>
      <c r="O34" s="9"/>
      <c r="P34" s="105">
        <f ca="1">+Q34/Budget!$G$10</f>
        <v>0.44955316663002809</v>
      </c>
      <c r="Q34" s="48">
        <f t="shared" ca="1" si="10"/>
        <v>2000000</v>
      </c>
      <c r="R34" s="11">
        <f t="shared" ca="1" si="11"/>
        <v>764323.10105370777</v>
      </c>
      <c r="S34" s="11">
        <f t="shared" ca="1" si="11"/>
        <v>444607.63224393112</v>
      </c>
      <c r="T34" s="11">
        <f t="shared" ca="1" si="11"/>
        <v>791069.26670236117</v>
      </c>
    </row>
    <row r="35" spans="2:37" x14ac:dyDescent="0.35">
      <c r="B35" s="9" t="s">
        <v>60</v>
      </c>
      <c r="C35" s="9"/>
      <c r="D35" s="22"/>
      <c r="E35" s="9"/>
      <c r="F35" s="105">
        <f ca="1">+G35/Budget!$G$10</f>
        <v>6.5344169925569915</v>
      </c>
      <c r="G35" s="48">
        <f t="shared" ca="1" si="9"/>
        <v>29070719.450341083</v>
      </c>
      <c r="H35" s="11">
        <f ca="1">+Budget!H80</f>
        <v>11439161.391024234</v>
      </c>
      <c r="I35" s="34">
        <f ca="1">+Budget!I80</f>
        <v>6434689.4432007801</v>
      </c>
      <c r="J35" s="34">
        <f ca="1">+Budget!J80</f>
        <v>11196868.616116071</v>
      </c>
      <c r="L35" s="9" t="s">
        <v>60</v>
      </c>
      <c r="M35" s="9"/>
      <c r="N35" s="22"/>
      <c r="O35" s="9"/>
      <c r="P35" s="105">
        <f ca="1">+Q35/Budget!$G$10</f>
        <v>6.5344169925569915</v>
      </c>
      <c r="Q35" s="48">
        <f t="shared" ca="1" si="10"/>
        <v>29070719.450341083</v>
      </c>
      <c r="R35" s="11">
        <f t="shared" ca="1" si="11"/>
        <v>11439161.391024234</v>
      </c>
      <c r="S35" s="11">
        <f t="shared" ca="1" si="11"/>
        <v>6434689.4432007801</v>
      </c>
      <c r="T35" s="11">
        <f t="shared" ca="1" si="11"/>
        <v>11196868.616116071</v>
      </c>
    </row>
    <row r="36" spans="2:37" x14ac:dyDescent="0.35">
      <c r="B36" s="12" t="s">
        <v>97</v>
      </c>
      <c r="C36" s="12"/>
      <c r="D36" s="12"/>
      <c r="E36" s="12"/>
      <c r="F36" s="106">
        <f ca="1">+G36/Budget!$G$10</f>
        <v>228.13371424771555</v>
      </c>
      <c r="G36" s="13">
        <f t="shared" ref="G36:I36" ca="1" si="12">+SUM(G29:G35)</f>
        <v>1014935412.2355202</v>
      </c>
      <c r="H36" s="13">
        <f t="shared" ca="1" si="12"/>
        <v>399644692.09183204</v>
      </c>
      <c r="I36" s="13">
        <f t="shared" ca="1" si="12"/>
        <v>221743310.6570363</v>
      </c>
      <c r="J36" s="36">
        <f t="shared" ref="J36" ca="1" si="13">+SUM(J29:J35)</f>
        <v>393547409.48665184</v>
      </c>
      <c r="L36" s="12" t="s">
        <v>97</v>
      </c>
      <c r="M36" s="12"/>
      <c r="N36" s="12"/>
      <c r="O36" s="12"/>
      <c r="P36" s="106">
        <f ca="1">+Q36/Budget!$G$10</f>
        <v>228.13371424771555</v>
      </c>
      <c r="Q36" s="36">
        <f t="shared" ref="Q36" ca="1" si="14">+SUM(Q29:Q35)</f>
        <v>1014935412.2355202</v>
      </c>
      <c r="R36" s="13">
        <f t="shared" ref="R36:T36" ca="1" si="15">+SUM(R29:R35)</f>
        <v>399644692.09183204</v>
      </c>
      <c r="S36" s="13">
        <f ca="1">+SUM(S29:S35)</f>
        <v>221743310.6570363</v>
      </c>
      <c r="T36" s="13">
        <f t="shared" ca="1" si="15"/>
        <v>393547409.48665184</v>
      </c>
    </row>
    <row r="38" spans="2:37" x14ac:dyDescent="0.35">
      <c r="B38" s="187" t="s">
        <v>370</v>
      </c>
      <c r="C38" s="188"/>
      <c r="D38" s="188"/>
      <c r="E38" s="188"/>
      <c r="F38" s="188"/>
      <c r="G38" s="187" t="s">
        <v>17</v>
      </c>
      <c r="H38" s="189" t="str">
        <f>+H$2</f>
        <v>I</v>
      </c>
      <c r="I38" s="189" t="str">
        <f>+I$2</f>
        <v>II</v>
      </c>
      <c r="J38" s="189" t="str">
        <f>+J$2</f>
        <v>III</v>
      </c>
      <c r="K38" s="34"/>
    </row>
    <row r="39" spans="2:37" s="41" customFormat="1" x14ac:dyDescent="0.35">
      <c r="B39" s="14" t="s">
        <v>61</v>
      </c>
      <c r="C39" s="14"/>
      <c r="D39" s="181"/>
      <c r="E39" s="14"/>
      <c r="F39" s="105">
        <f ca="1">+G39/Budget!$G$10</f>
        <v>0</v>
      </c>
      <c r="G39" s="182">
        <f t="shared" ref="G39:G45" si="16">+SUM(H39:J39)</f>
        <v>0</v>
      </c>
      <c r="H39" s="183">
        <f t="shared" ref="H39:J45" si="17">+H29-H7</f>
        <v>0</v>
      </c>
      <c r="I39" s="183">
        <f t="shared" si="17"/>
        <v>0</v>
      </c>
      <c r="J39" s="183">
        <f t="shared" si="17"/>
        <v>0</v>
      </c>
      <c r="K39" s="34"/>
    </row>
    <row r="40" spans="2:37" s="41" customFormat="1" x14ac:dyDescent="0.35">
      <c r="B40" s="14" t="s">
        <v>8</v>
      </c>
      <c r="C40" s="14"/>
      <c r="D40" s="181"/>
      <c r="E40" s="14"/>
      <c r="F40" s="105">
        <f ca="1">+G40/Budget!$G$10</f>
        <v>0</v>
      </c>
      <c r="G40" s="182">
        <f t="shared" si="16"/>
        <v>0</v>
      </c>
      <c r="H40" s="183">
        <f t="shared" si="17"/>
        <v>0</v>
      </c>
      <c r="I40" s="183">
        <f t="shared" si="17"/>
        <v>0</v>
      </c>
      <c r="J40" s="183">
        <f t="shared" si="17"/>
        <v>0</v>
      </c>
      <c r="K40" s="34"/>
    </row>
    <row r="41" spans="2:37" x14ac:dyDescent="0.35">
      <c r="B41" s="14" t="s">
        <v>57</v>
      </c>
      <c r="C41" s="14"/>
      <c r="D41" s="181"/>
      <c r="E41" s="14"/>
      <c r="F41" s="105">
        <f ca="1">+G41/Budget!$G$10</f>
        <v>171.43947602635038</v>
      </c>
      <c r="G41" s="182">
        <f t="shared" ca="1" si="16"/>
        <v>762710570.19354117</v>
      </c>
      <c r="H41" s="183">
        <f t="shared" ca="1" si="17"/>
        <v>297503456.66999996</v>
      </c>
      <c r="I41" s="183">
        <f t="shared" ca="1" si="17"/>
        <v>174155529.98339999</v>
      </c>
      <c r="J41" s="183">
        <f t="shared" ca="1" si="17"/>
        <v>291051583.54014122</v>
      </c>
    </row>
    <row r="42" spans="2:37" hidden="1" outlineLevel="1" x14ac:dyDescent="0.35">
      <c r="B42" s="14" t="s">
        <v>58</v>
      </c>
      <c r="C42" s="14"/>
      <c r="D42" s="181"/>
      <c r="E42" s="14"/>
      <c r="F42" s="105">
        <f ca="1">+G42/Budget!$G$10</f>
        <v>6.0280940831198846</v>
      </c>
      <c r="G42" s="182">
        <f t="shared" ca="1" si="16"/>
        <v>26818158.698816895</v>
      </c>
      <c r="H42" s="183">
        <f t="shared" ca="1" si="17"/>
        <v>10277099.499017043</v>
      </c>
      <c r="I42" s="183">
        <f t="shared" ca="1" si="17"/>
        <v>5783938.1999861635</v>
      </c>
      <c r="J42" s="183">
        <f t="shared" ca="1" si="17"/>
        <v>10757120.999813689</v>
      </c>
    </row>
    <row r="43" spans="2:37" collapsed="1" x14ac:dyDescent="0.35">
      <c r="B43" s="14" t="s">
        <v>80</v>
      </c>
      <c r="C43" s="14"/>
      <c r="D43" s="181"/>
      <c r="E43" s="14"/>
      <c r="F43" s="105">
        <f ca="1">+G43/Budget!$G$10</f>
        <v>16.139363682654583</v>
      </c>
      <c r="G43" s="182">
        <f t="shared" ca="1" si="16"/>
        <v>71801801.79194203</v>
      </c>
      <c r="H43" s="183">
        <f t="shared" ca="1" si="17"/>
        <v>28164860.643364143</v>
      </c>
      <c r="I43" s="183">
        <f t="shared" ca="1" si="17"/>
        <v>16056189.021147538</v>
      </c>
      <c r="J43" s="183">
        <f t="shared" ca="1" si="17"/>
        <v>27580752.127430357</v>
      </c>
    </row>
    <row r="44" spans="2:37" x14ac:dyDescent="0.35">
      <c r="B44" s="14" t="s">
        <v>83</v>
      </c>
      <c r="C44" s="14"/>
      <c r="D44" s="181"/>
      <c r="E44" s="14"/>
      <c r="F44" s="105">
        <f ca="1">+G44/Budget!$G$10</f>
        <v>0.44955316663002809</v>
      </c>
      <c r="G44" s="182">
        <f t="shared" ca="1" si="16"/>
        <v>2000000</v>
      </c>
      <c r="H44" s="183">
        <f t="shared" ca="1" si="17"/>
        <v>764323.10105370777</v>
      </c>
      <c r="I44" s="183">
        <f t="shared" ca="1" si="17"/>
        <v>444607.63224393112</v>
      </c>
      <c r="J44" s="183">
        <f t="shared" ca="1" si="17"/>
        <v>791069.26670236117</v>
      </c>
    </row>
    <row r="45" spans="2:37" s="41" customFormat="1" x14ac:dyDescent="0.35">
      <c r="B45" s="14" t="s">
        <v>60</v>
      </c>
      <c r="C45" s="14"/>
      <c r="D45" s="184"/>
      <c r="E45" s="14"/>
      <c r="F45" s="105">
        <f ca="1">+G45/Budget!$G$10</f>
        <v>6.5344169925569915</v>
      </c>
      <c r="G45" s="182">
        <f t="shared" ca="1" si="16"/>
        <v>29070719.450341083</v>
      </c>
      <c r="H45" s="183">
        <f t="shared" ca="1" si="17"/>
        <v>11439161.391024234</v>
      </c>
      <c r="I45" s="183">
        <f t="shared" ca="1" si="17"/>
        <v>6434689.4432007801</v>
      </c>
      <c r="J45" s="183">
        <f t="shared" ca="1" si="17"/>
        <v>11196868.616116071</v>
      </c>
    </row>
    <row r="46" spans="2:37" x14ac:dyDescent="0.35">
      <c r="B46" s="185" t="s">
        <v>97</v>
      </c>
      <c r="C46" s="185"/>
      <c r="D46" s="185"/>
      <c r="E46" s="185"/>
      <c r="F46" s="106">
        <f ca="1">+G46/Budget!$G$10</f>
        <v>200.59090395131184</v>
      </c>
      <c r="G46" s="186">
        <f t="shared" ref="G46:I46" ca="1" si="18">+SUM(G39:G45)</f>
        <v>892401250.13464117</v>
      </c>
      <c r="H46" s="186">
        <f t="shared" ca="1" si="18"/>
        <v>348148901.3044591</v>
      </c>
      <c r="I46" s="186">
        <f t="shared" ca="1" si="18"/>
        <v>202874954.27997839</v>
      </c>
      <c r="J46" s="186">
        <f t="shared" ref="J46" ca="1" si="19">+SUM(J39:J45)</f>
        <v>341377394.55020368</v>
      </c>
      <c r="U46" s="119"/>
    </row>
    <row r="48" spans="2:37" ht="24" customHeight="1" x14ac:dyDescent="0.35">
      <c r="B48" s="9"/>
      <c r="C48" s="9"/>
      <c r="D48" s="9"/>
      <c r="E48" s="9"/>
      <c r="F48" s="9"/>
      <c r="G48" s="9"/>
      <c r="H48" s="9"/>
      <c r="I48" s="9"/>
      <c r="J48" s="9"/>
      <c r="U48" s="716"/>
      <c r="V48" s="716"/>
      <c r="W48" s="716"/>
      <c r="X48" s="804" t="s">
        <v>666</v>
      </c>
      <c r="Y48" s="804"/>
      <c r="Z48" s="804"/>
      <c r="AA48" s="716"/>
      <c r="AB48" s="716"/>
      <c r="AC48" s="804" t="s">
        <v>669</v>
      </c>
      <c r="AD48" s="804"/>
      <c r="AE48" s="804"/>
      <c r="AF48" s="716"/>
      <c r="AG48" s="716"/>
      <c r="AH48" s="716"/>
      <c r="AI48" s="716"/>
      <c r="AJ48" s="716"/>
      <c r="AK48" s="716"/>
    </row>
    <row r="49" spans="2:37" s="207" customFormat="1" ht="4" customHeight="1" x14ac:dyDescent="0.35">
      <c r="B49" s="556"/>
      <c r="C49" s="556"/>
      <c r="D49" s="556"/>
      <c r="E49" s="556"/>
      <c r="F49" s="556"/>
      <c r="G49" s="556"/>
      <c r="H49" s="556"/>
      <c r="I49" s="556"/>
      <c r="J49" s="556"/>
      <c r="U49" s="717"/>
      <c r="V49" s="717"/>
      <c r="W49" s="717"/>
      <c r="X49" s="718"/>
      <c r="Y49" s="718"/>
      <c r="Z49" s="718"/>
      <c r="AA49" s="717"/>
      <c r="AB49" s="717"/>
      <c r="AC49" s="718"/>
      <c r="AD49" s="718"/>
      <c r="AE49" s="718"/>
      <c r="AF49" s="717"/>
      <c r="AG49" s="717"/>
      <c r="AH49" s="717"/>
      <c r="AI49" s="717"/>
      <c r="AJ49" s="717"/>
      <c r="AK49" s="717"/>
    </row>
    <row r="50" spans="2:37" ht="24" customHeight="1" x14ac:dyDescent="0.35">
      <c r="U50" s="727" t="s">
        <v>665</v>
      </c>
      <c r="V50" s="728"/>
      <c r="W50" s="729" t="s">
        <v>17</v>
      </c>
      <c r="X50" s="730" t="s">
        <v>21</v>
      </c>
      <c r="Y50" s="730" t="s">
        <v>381</v>
      </c>
      <c r="Z50" s="730" t="s">
        <v>384</v>
      </c>
      <c r="AA50" s="716"/>
      <c r="AB50" s="729" t="s">
        <v>17</v>
      </c>
      <c r="AC50" s="730" t="str">
        <f>+X50</f>
        <v>Phase I</v>
      </c>
      <c r="AD50" s="730" t="str">
        <f>+Y50</f>
        <v>Phase II</v>
      </c>
      <c r="AE50" s="730" t="str">
        <f>+Z50</f>
        <v>Phase III</v>
      </c>
      <c r="AF50" s="716"/>
      <c r="AG50" s="731" t="s">
        <v>664</v>
      </c>
      <c r="AH50" s="731" t="s">
        <v>17</v>
      </c>
      <c r="AI50" s="730" t="str">
        <f>+X50</f>
        <v>Phase I</v>
      </c>
      <c r="AJ50" s="730" t="str">
        <f>+Y50</f>
        <v>Phase II</v>
      </c>
      <c r="AK50" s="730" t="str">
        <f>+Z50</f>
        <v>Phase III</v>
      </c>
    </row>
    <row r="51" spans="2:37" ht="24" customHeight="1" x14ac:dyDescent="0.35">
      <c r="U51" s="719" t="s">
        <v>667</v>
      </c>
      <c r="V51" s="719"/>
      <c r="W51" s="720">
        <f ca="1">+SUM(X51:Z51)</f>
        <v>608.96124734131217</v>
      </c>
      <c r="X51" s="721">
        <f ca="1">+H17/1000000</f>
        <v>239.78681525509921</v>
      </c>
      <c r="Y51" s="721">
        <f ca="1">+I17/1000000</f>
        <v>133.04598639422179</v>
      </c>
      <c r="Z51" s="721">
        <f ca="1">+J17/1000000</f>
        <v>236.12844569199109</v>
      </c>
      <c r="AA51" s="722"/>
      <c r="AB51" s="720">
        <f t="shared" ref="AB51" ca="1" si="20">+SUM(AC51:AE51)</f>
        <v>570.10449368010165</v>
      </c>
      <c r="AC51" s="721">
        <f t="shared" ref="AC51:AE54" ca="1" si="21">+R17/1000000</f>
        <v>213.27554218726223</v>
      </c>
      <c r="AD51" s="721">
        <f t="shared" ca="1" si="21"/>
        <v>119.1310143601854</v>
      </c>
      <c r="AE51" s="721">
        <f t="shared" ca="1" si="21"/>
        <v>237.69793713265392</v>
      </c>
      <c r="AF51" s="716"/>
      <c r="AG51" s="719" t="s">
        <v>64</v>
      </c>
      <c r="AH51" s="720">
        <f t="shared" ref="AH51:AK57" si="22">+G29/1000000</f>
        <v>16.840711107142859</v>
      </c>
      <c r="AI51" s="721">
        <f t="shared" si="22"/>
        <v>6.9001510000000001</v>
      </c>
      <c r="AJ51" s="721">
        <f t="shared" si="22"/>
        <v>0.8189731071428572</v>
      </c>
      <c r="AK51" s="721">
        <f t="shared" si="22"/>
        <v>9.1215869999999999</v>
      </c>
    </row>
    <row r="52" spans="2:37" s="41" customFormat="1" ht="24" customHeight="1" x14ac:dyDescent="0.35">
      <c r="U52" s="723" t="s">
        <v>670</v>
      </c>
      <c r="V52" s="723"/>
      <c r="W52" s="724">
        <f t="shared" ref="W52:W53" si="23">+SUM(X52:Z52)</f>
        <v>0</v>
      </c>
      <c r="X52" s="725">
        <v>0</v>
      </c>
      <c r="Y52" s="725">
        <v>0</v>
      </c>
      <c r="Z52" s="725">
        <v>0</v>
      </c>
      <c r="AA52" s="722"/>
      <c r="AB52" s="724">
        <f t="shared" ref="AB52:AB58" ca="1" si="24">+SUM(AC52:AE52)</f>
        <v>106.15632872090534</v>
      </c>
      <c r="AC52" s="726">
        <f t="shared" ca="1" si="21"/>
        <v>61.492153068216204</v>
      </c>
      <c r="AD52" s="726">
        <f t="shared" ca="1" si="21"/>
        <v>38.593085568527727</v>
      </c>
      <c r="AE52" s="726">
        <f t="shared" ca="1" si="21"/>
        <v>6.0710900841614119</v>
      </c>
      <c r="AF52" s="716"/>
      <c r="AG52" s="723" t="s">
        <v>672</v>
      </c>
      <c r="AH52" s="724">
        <f t="shared" si="22"/>
        <v>71.30982184620062</v>
      </c>
      <c r="AI52" s="726">
        <f t="shared" si="22"/>
        <v>31.353547897872343</v>
      </c>
      <c r="AJ52" s="726">
        <f t="shared" si="22"/>
        <v>10.4611</v>
      </c>
      <c r="AK52" s="726">
        <f t="shared" si="22"/>
        <v>29.495173948328272</v>
      </c>
    </row>
    <row r="53" spans="2:37" s="41" customFormat="1" ht="24" customHeight="1" x14ac:dyDescent="0.35">
      <c r="U53" s="719" t="s">
        <v>671</v>
      </c>
      <c r="V53" s="719"/>
      <c r="W53" s="720">
        <f t="shared" si="23"/>
        <v>0</v>
      </c>
      <c r="X53" s="721">
        <v>0</v>
      </c>
      <c r="Y53" s="721">
        <v>0</v>
      </c>
      <c r="Z53" s="721">
        <v>0</v>
      </c>
      <c r="AA53" s="722"/>
      <c r="AB53" s="720">
        <f t="shared" ca="1" si="24"/>
        <v>39.065366330291461</v>
      </c>
      <c r="AC53" s="721">
        <f t="shared" ca="1" si="21"/>
        <v>1.5381818181818179E-10</v>
      </c>
      <c r="AD53" s="721">
        <f t="shared" ca="1" si="21"/>
        <v>1.6003243636363635E-10</v>
      </c>
      <c r="AE53" s="721">
        <f t="shared" ca="1" si="21"/>
        <v>39.065366329977607</v>
      </c>
      <c r="AF53" s="716"/>
      <c r="AG53" s="719" t="s">
        <v>57</v>
      </c>
      <c r="AH53" s="720">
        <f t="shared" ca="1" si="22"/>
        <v>762.8705701935412</v>
      </c>
      <c r="AI53" s="721">
        <f t="shared" ca="1" si="22"/>
        <v>297.66345666999996</v>
      </c>
      <c r="AJ53" s="721">
        <f t="shared" ca="1" si="22"/>
        <v>174.15552998339999</v>
      </c>
      <c r="AK53" s="721">
        <f t="shared" ca="1" si="22"/>
        <v>291.05158354014122</v>
      </c>
    </row>
    <row r="54" spans="2:37" ht="24" customHeight="1" x14ac:dyDescent="0.35">
      <c r="U54" s="723" t="s">
        <v>98</v>
      </c>
      <c r="V54" s="723"/>
      <c r="W54" s="724">
        <f t="shared" ref="W54:W58" ca="1" si="25">+SUM(X54:Z54)</f>
        <v>182.04891648680317</v>
      </c>
      <c r="X54" s="725">
        <f ca="1">+H18/1000000</f>
        <v>74.189767741794824</v>
      </c>
      <c r="Y54" s="725">
        <f ca="1">+I18/1000000</f>
        <v>43.58491215874799</v>
      </c>
      <c r="Z54" s="725">
        <f ca="1">+J18/1000000</f>
        <v>64.274236586260386</v>
      </c>
      <c r="AA54" s="716"/>
      <c r="AB54" s="724">
        <f t="shared" ca="1" si="24"/>
        <v>182.04891648680317</v>
      </c>
      <c r="AC54" s="726">
        <f t="shared" ca="1" si="21"/>
        <v>74.189767741794824</v>
      </c>
      <c r="AD54" s="726">
        <f t="shared" ca="1" si="21"/>
        <v>43.58491215874799</v>
      </c>
      <c r="AE54" s="726">
        <f t="shared" ca="1" si="21"/>
        <v>64.274236586260386</v>
      </c>
      <c r="AF54" s="716"/>
      <c r="AG54" s="723" t="s">
        <v>58</v>
      </c>
      <c r="AH54" s="724">
        <f t="shared" ca="1" si="22"/>
        <v>61.04178784635247</v>
      </c>
      <c r="AI54" s="726">
        <f t="shared" ca="1" si="22"/>
        <v>23.359191388517704</v>
      </c>
      <c r="AJ54" s="726">
        <f t="shared" ca="1" si="22"/>
        <v>13.372221469901216</v>
      </c>
      <c r="AK54" s="726">
        <f t="shared" ca="1" si="22"/>
        <v>24.31037498793355</v>
      </c>
    </row>
    <row r="55" spans="2:37" ht="24" customHeight="1" x14ac:dyDescent="0.35">
      <c r="U55" s="719" t="s">
        <v>99</v>
      </c>
      <c r="V55" s="719"/>
      <c r="W55" s="720">
        <f t="shared" si="25"/>
        <v>32.172132924260453</v>
      </c>
      <c r="X55" s="721">
        <f t="shared" ref="X55:Z58" si="26">+H20/1000000</f>
        <v>12.714766389964083</v>
      </c>
      <c r="Y55" s="721">
        <f t="shared" si="26"/>
        <v>8.8323397304545477</v>
      </c>
      <c r="Z55" s="721">
        <f t="shared" si="26"/>
        <v>10.625026803841823</v>
      </c>
      <c r="AA55" s="722"/>
      <c r="AB55" s="720">
        <f t="shared" si="24"/>
        <v>32.172132924260453</v>
      </c>
      <c r="AC55" s="721">
        <f t="shared" ref="AC55:AE58" si="27">+R22/1000000</f>
        <v>12.714766389964083</v>
      </c>
      <c r="AD55" s="721">
        <f t="shared" si="27"/>
        <v>8.8323397304545477</v>
      </c>
      <c r="AE55" s="721">
        <f t="shared" si="27"/>
        <v>10.625026803841823</v>
      </c>
      <c r="AF55" s="716"/>
      <c r="AG55" s="719" t="s">
        <v>154</v>
      </c>
      <c r="AH55" s="720">
        <f t="shared" ca="1" si="22"/>
        <v>71.801801791942026</v>
      </c>
      <c r="AI55" s="721">
        <f t="shared" ca="1" si="22"/>
        <v>28.164860643364143</v>
      </c>
      <c r="AJ55" s="721">
        <f t="shared" ca="1" si="22"/>
        <v>16.056189021147539</v>
      </c>
      <c r="AK55" s="721">
        <f t="shared" ca="1" si="22"/>
        <v>27.580752127430358</v>
      </c>
    </row>
    <row r="56" spans="2:37" ht="24" customHeight="1" x14ac:dyDescent="0.35">
      <c r="U56" s="723" t="s">
        <v>100</v>
      </c>
      <c r="V56" s="723"/>
      <c r="W56" s="724">
        <f t="shared" si="25"/>
        <v>11.0760000000624</v>
      </c>
      <c r="X56" s="725">
        <f t="shared" si="26"/>
        <v>5.5380000000000003</v>
      </c>
      <c r="Y56" s="725">
        <f t="shared" si="26"/>
        <v>6.2400000000000012E-11</v>
      </c>
      <c r="Z56" s="725">
        <f t="shared" si="26"/>
        <v>5.5380000000000003</v>
      </c>
      <c r="AA56" s="716"/>
      <c r="AB56" s="724">
        <f t="shared" si="24"/>
        <v>11.0760000000624</v>
      </c>
      <c r="AC56" s="726">
        <f t="shared" si="27"/>
        <v>5.5380000000000003</v>
      </c>
      <c r="AD56" s="726">
        <f t="shared" si="27"/>
        <v>6.2400000000000012E-11</v>
      </c>
      <c r="AE56" s="726">
        <f t="shared" si="27"/>
        <v>5.5380000000000003</v>
      </c>
      <c r="AF56" s="716"/>
      <c r="AG56" s="723" t="s">
        <v>83</v>
      </c>
      <c r="AH56" s="724">
        <f t="shared" ca="1" si="22"/>
        <v>2</v>
      </c>
      <c r="AI56" s="726">
        <f t="shared" ca="1" si="22"/>
        <v>0.76432310105370782</v>
      </c>
      <c r="AJ56" s="726">
        <f t="shared" ca="1" si="22"/>
        <v>0.44460763224393113</v>
      </c>
      <c r="AK56" s="726">
        <f t="shared" ca="1" si="22"/>
        <v>0.79106926670236122</v>
      </c>
    </row>
    <row r="57" spans="2:37" ht="24" customHeight="1" x14ac:dyDescent="0.35">
      <c r="U57" s="719" t="s">
        <v>620</v>
      </c>
      <c r="V57" s="719"/>
      <c r="W57" s="720">
        <f t="shared" ca="1" si="25"/>
        <v>3.2563307674772362</v>
      </c>
      <c r="X57" s="721">
        <f t="shared" ca="1" si="26"/>
        <v>3.2563307674772362</v>
      </c>
      <c r="Y57" s="721">
        <f t="shared" si="26"/>
        <v>0</v>
      </c>
      <c r="Z57" s="721">
        <f t="shared" si="26"/>
        <v>0</v>
      </c>
      <c r="AA57" s="722"/>
      <c r="AB57" s="720">
        <f t="shared" ca="1" si="24"/>
        <v>3.2563307674772362</v>
      </c>
      <c r="AC57" s="721">
        <f t="shared" ca="1" si="27"/>
        <v>3.2563307674772362</v>
      </c>
      <c r="AD57" s="721">
        <f t="shared" si="27"/>
        <v>0</v>
      </c>
      <c r="AE57" s="721">
        <f t="shared" si="27"/>
        <v>0</v>
      </c>
      <c r="AF57" s="716"/>
      <c r="AG57" s="719" t="s">
        <v>60</v>
      </c>
      <c r="AH57" s="720">
        <f t="shared" ca="1" si="22"/>
        <v>29.070719450341084</v>
      </c>
      <c r="AI57" s="721">
        <f t="shared" ca="1" si="22"/>
        <v>11.439161391024234</v>
      </c>
      <c r="AJ57" s="721">
        <f t="shared" ca="1" si="22"/>
        <v>6.4346894432007797</v>
      </c>
      <c r="AK57" s="721">
        <f t="shared" ca="1" si="22"/>
        <v>11.19686861611607</v>
      </c>
    </row>
    <row r="58" spans="2:37" ht="24" customHeight="1" x14ac:dyDescent="0.35">
      <c r="U58" s="723" t="s">
        <v>668</v>
      </c>
      <c r="V58" s="723"/>
      <c r="W58" s="724">
        <f t="shared" ca="1" si="25"/>
        <v>177.4207847156049</v>
      </c>
      <c r="X58" s="725">
        <f t="shared" ca="1" si="26"/>
        <v>64.159011937496729</v>
      </c>
      <c r="Y58" s="725">
        <f t="shared" ca="1" si="26"/>
        <v>36.280072373549579</v>
      </c>
      <c r="Z58" s="725">
        <f t="shared" ca="1" si="26"/>
        <v>76.981700404558538</v>
      </c>
      <c r="AA58" s="716"/>
      <c r="AB58" s="724">
        <f t="shared" ca="1" si="24"/>
        <v>71.055843325618412</v>
      </c>
      <c r="AC58" s="726">
        <f t="shared" ca="1" si="27"/>
        <v>29.178131936963617</v>
      </c>
      <c r="AD58" s="726">
        <f t="shared" ca="1" si="27"/>
        <v>11.601958838898183</v>
      </c>
      <c r="AE58" s="726">
        <f t="shared" ca="1" si="27"/>
        <v>30.275752549756707</v>
      </c>
      <c r="AF58" s="716"/>
      <c r="AG58" s="716"/>
      <c r="AH58" s="716"/>
      <c r="AI58" s="716"/>
      <c r="AJ58" s="716"/>
      <c r="AK58" s="716"/>
    </row>
    <row r="59" spans="2:37" ht="24" customHeight="1" x14ac:dyDescent="0.35">
      <c r="U59" s="732" t="s">
        <v>96</v>
      </c>
      <c r="V59" s="732"/>
      <c r="W59" s="733">
        <f ca="1">+SUM(W51:W58)</f>
        <v>1014.9354122355204</v>
      </c>
      <c r="X59" s="734">
        <f ca="1">+SUM(X51:X58)</f>
        <v>399.6446920918321</v>
      </c>
      <c r="Y59" s="734">
        <f ca="1">+SUM(Y51:Y58)</f>
        <v>221.74331065703632</v>
      </c>
      <c r="Z59" s="734">
        <f ca="1">+SUM(Z51:Z58)</f>
        <v>393.54740948665182</v>
      </c>
      <c r="AA59" s="716"/>
      <c r="AB59" s="733">
        <f ca="1">+SUM(AB51:AB58)</f>
        <v>1014.9354122355202</v>
      </c>
      <c r="AC59" s="734">
        <f ca="1">+SUM(AC51:AC58)</f>
        <v>399.64469209183198</v>
      </c>
      <c r="AD59" s="734">
        <f ca="1">+SUM(AD51:AD58)</f>
        <v>221.74331065703632</v>
      </c>
      <c r="AE59" s="734">
        <f ca="1">+SUM(AE51:AE58)</f>
        <v>393.54740948665187</v>
      </c>
      <c r="AF59" s="716"/>
      <c r="AG59" s="732" t="s">
        <v>97</v>
      </c>
      <c r="AH59" s="733">
        <f ca="1">+SUM(AH51:AH57)</f>
        <v>1014.9354122355203</v>
      </c>
      <c r="AI59" s="734">
        <f ca="1">+SUM(AI51:AI57)</f>
        <v>399.64469209183216</v>
      </c>
      <c r="AJ59" s="734">
        <f ca="1">+SUM(AJ51:AJ57)</f>
        <v>221.74331065703629</v>
      </c>
      <c r="AK59" s="734">
        <f ca="1">+SUM(AK51:AK57)</f>
        <v>393.54740948665182</v>
      </c>
    </row>
    <row r="60" spans="2:37" x14ac:dyDescent="0.35">
      <c r="AA60" s="41"/>
      <c r="AB60" s="41"/>
      <c r="AC60" s="41"/>
      <c r="AD60" s="41"/>
      <c r="AE60" s="41"/>
      <c r="AF60" s="41"/>
      <c r="AG60" s="41"/>
    </row>
    <row r="61" spans="2:37" x14ac:dyDescent="0.35">
      <c r="AA61" s="41"/>
      <c r="AH61" s="41"/>
    </row>
    <row r="62" spans="2:37" x14ac:dyDescent="0.35">
      <c r="AA62" s="41"/>
      <c r="AH62" s="41"/>
    </row>
    <row r="63" spans="2:37" x14ac:dyDescent="0.35">
      <c r="AA63" s="41"/>
      <c r="AH63" s="41"/>
    </row>
    <row r="64" spans="2:37" x14ac:dyDescent="0.35">
      <c r="AA64" s="41"/>
      <c r="AH64" s="41"/>
    </row>
    <row r="65" spans="27:34" x14ac:dyDescent="0.35">
      <c r="AA65" s="41"/>
      <c r="AC65" s="41"/>
      <c r="AD65" s="41"/>
      <c r="AE65" s="41"/>
      <c r="AF65" s="41"/>
      <c r="AG65" s="41"/>
      <c r="AH65" s="41"/>
    </row>
    <row r="66" spans="27:34" x14ac:dyDescent="0.35">
      <c r="AA66" s="41"/>
      <c r="AC66" s="41"/>
      <c r="AD66" s="41"/>
      <c r="AE66" s="41"/>
      <c r="AF66" s="41"/>
      <c r="AG66" s="41"/>
      <c r="AH66" s="41"/>
    </row>
    <row r="67" spans="27:34" x14ac:dyDescent="0.35">
      <c r="AA67" s="41"/>
      <c r="AC67" s="41"/>
      <c r="AD67" s="41"/>
      <c r="AE67" s="41"/>
      <c r="AF67" s="41"/>
      <c r="AG67" s="41"/>
      <c r="AH67" s="41"/>
    </row>
    <row r="68" spans="27:34" x14ac:dyDescent="0.35">
      <c r="AA68" s="41"/>
      <c r="AC68" s="41"/>
      <c r="AD68" s="41"/>
      <c r="AE68" s="41"/>
      <c r="AF68" s="41"/>
      <c r="AG68" s="41"/>
      <c r="AH68" s="41"/>
    </row>
    <row r="69" spans="27:34" x14ac:dyDescent="0.35">
      <c r="AA69" s="41"/>
      <c r="AC69" s="41"/>
      <c r="AD69" s="41"/>
      <c r="AE69" s="41"/>
      <c r="AF69" s="41"/>
      <c r="AG69" s="41"/>
      <c r="AH69" s="41"/>
    </row>
    <row r="70" spans="27:34" x14ac:dyDescent="0.35">
      <c r="AB70" s="41"/>
      <c r="AC70" s="41"/>
      <c r="AD70" s="41"/>
      <c r="AE70" s="41"/>
      <c r="AF70" s="41"/>
      <c r="AG70" s="41"/>
      <c r="AH70" s="41"/>
    </row>
    <row r="71" spans="27:34" x14ac:dyDescent="0.35">
      <c r="AB71" s="41"/>
      <c r="AC71" s="41"/>
      <c r="AD71" s="41"/>
      <c r="AE71" s="41"/>
      <c r="AF71" s="41"/>
      <c r="AG71" s="41"/>
      <c r="AH71" s="41"/>
    </row>
    <row r="72" spans="27:34" x14ac:dyDescent="0.35">
      <c r="AB72" s="41"/>
      <c r="AC72" s="41"/>
      <c r="AD72" s="41"/>
      <c r="AE72" s="41"/>
      <c r="AF72" s="41"/>
      <c r="AG72" s="41"/>
      <c r="AH72" s="41"/>
    </row>
    <row r="73" spans="27:34" x14ac:dyDescent="0.35">
      <c r="AC73" s="41"/>
      <c r="AD73" s="41"/>
      <c r="AE73" s="41"/>
      <c r="AF73" s="41"/>
      <c r="AG73" s="41"/>
      <c r="AH73" s="41"/>
    </row>
    <row r="74" spans="27:34" x14ac:dyDescent="0.35">
      <c r="AC74" s="41"/>
      <c r="AD74" s="41"/>
      <c r="AE74" s="41"/>
      <c r="AF74" s="41"/>
      <c r="AG74" s="41"/>
      <c r="AH74" s="41"/>
    </row>
    <row r="75" spans="27:34" x14ac:dyDescent="0.35">
      <c r="AC75" s="41"/>
      <c r="AD75" s="41"/>
      <c r="AE75" s="41"/>
      <c r="AF75" s="41"/>
      <c r="AG75" s="41"/>
      <c r="AH75" s="41"/>
    </row>
    <row r="76" spans="27:34" x14ac:dyDescent="0.35">
      <c r="AC76" s="41"/>
      <c r="AD76" s="41"/>
      <c r="AE76" s="41"/>
      <c r="AF76" s="41"/>
      <c r="AG76" s="41"/>
      <c r="AH76" s="41"/>
    </row>
    <row r="77" spans="27:34" x14ac:dyDescent="0.35">
      <c r="AC77" s="41"/>
      <c r="AD77" s="41"/>
      <c r="AE77" s="41"/>
      <c r="AF77" s="41"/>
      <c r="AG77" s="41"/>
      <c r="AH77" s="41"/>
    </row>
    <row r="78" spans="27:34" x14ac:dyDescent="0.35">
      <c r="AC78" s="41"/>
      <c r="AD78" s="41"/>
      <c r="AE78" s="41"/>
      <c r="AF78" s="41"/>
      <c r="AG78" s="41"/>
      <c r="AH78" s="41"/>
    </row>
    <row r="79" spans="27:34" x14ac:dyDescent="0.35">
      <c r="AC79" s="41"/>
      <c r="AD79" s="41"/>
      <c r="AE79" s="41"/>
      <c r="AF79" s="41"/>
      <c r="AG79" s="41"/>
      <c r="AH79" s="41"/>
    </row>
    <row r="80" spans="27:34" x14ac:dyDescent="0.35">
      <c r="AC80" s="41"/>
      <c r="AD80" s="41"/>
      <c r="AE80" s="41"/>
      <c r="AF80" s="41"/>
      <c r="AG80" s="41"/>
      <c r="AH80" s="41"/>
    </row>
  </sheetData>
  <mergeCells count="2">
    <mergeCell ref="X48:Z48"/>
    <mergeCell ref="AC48:AE48"/>
  </mergeCells>
  <pageMargins left="0.7" right="0.7" top="0.75" bottom="0.75" header="0.3" footer="0.3"/>
  <pageSetup scale="27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BC96"/>
  <sheetViews>
    <sheetView showGridLines="0" topLeftCell="A10" zoomScale="70" zoomScaleNormal="70" workbookViewId="0">
      <selection activeCell="G31" sqref="A1:XFD1048576"/>
    </sheetView>
  </sheetViews>
  <sheetFormatPr defaultColWidth="16.453125" defaultRowHeight="15.5" x14ac:dyDescent="0.35"/>
  <cols>
    <col min="1" max="2" width="12.453125" style="18" customWidth="1"/>
    <col min="3" max="3" width="23.453125" style="18" customWidth="1"/>
    <col min="4" max="5" width="12.453125" style="18" customWidth="1"/>
    <col min="6" max="6" width="14.453125" style="18" bestFit="1" customWidth="1"/>
    <col min="7" max="7" width="22.1796875" style="18" bestFit="1" customWidth="1"/>
    <col min="8" max="8" width="17.1796875" style="18" customWidth="1"/>
    <col min="9" max="10" width="16.81640625" style="18" bestFit="1" customWidth="1"/>
    <col min="11" max="11" width="13.453125" style="18" bestFit="1" customWidth="1"/>
    <col min="12" max="12" width="15.453125" style="41" bestFit="1" customWidth="1"/>
    <col min="13" max="21" width="24.453125" style="18" customWidth="1"/>
    <col min="22" max="23" width="12.453125" style="18" customWidth="1"/>
    <col min="24" max="24" width="17.1796875" style="18" customWidth="1"/>
    <col min="25" max="16384" width="16.453125" style="18"/>
  </cols>
  <sheetData>
    <row r="1" spans="1:55" s="41" customFormat="1" x14ac:dyDescent="0.35"/>
    <row r="2" spans="1:55" s="41" customFormat="1" x14ac:dyDescent="0.35">
      <c r="M2" s="805" t="s">
        <v>745</v>
      </c>
      <c r="N2" s="805"/>
      <c r="O2" s="805"/>
      <c r="P2" s="805"/>
      <c r="Q2" s="805"/>
      <c r="R2" s="805"/>
      <c r="S2" s="805"/>
      <c r="T2" s="805"/>
      <c r="U2" s="805"/>
      <c r="Y2" s="805" t="s">
        <v>746</v>
      </c>
      <c r="Z2" s="805"/>
      <c r="AA2" s="805"/>
      <c r="AB2" s="805"/>
      <c r="AC2" s="805"/>
      <c r="AD2" s="805"/>
      <c r="AE2" s="805"/>
      <c r="AF2" s="805"/>
      <c r="AG2" s="805"/>
      <c r="AJ2" s="805" t="s">
        <v>751</v>
      </c>
      <c r="AK2" s="805"/>
      <c r="AL2" s="805"/>
      <c r="AM2" s="805"/>
      <c r="AN2" s="805"/>
      <c r="AO2" s="805"/>
      <c r="AP2" s="805"/>
      <c r="AQ2" s="805"/>
      <c r="AR2" s="805"/>
      <c r="AU2" s="805" t="s">
        <v>752</v>
      </c>
      <c r="AV2" s="805"/>
      <c r="AW2" s="805"/>
      <c r="AX2" s="805"/>
      <c r="AY2" s="805"/>
      <c r="AZ2" s="805"/>
      <c r="BA2" s="805"/>
      <c r="BB2" s="805"/>
      <c r="BC2" s="805"/>
    </row>
    <row r="3" spans="1:55" s="41" customFormat="1" ht="25" x14ac:dyDescent="0.5">
      <c r="A3" s="203"/>
      <c r="M3" s="146">
        <v>0</v>
      </c>
      <c r="N3" s="146">
        <f>+M3+1</f>
        <v>1</v>
      </c>
      <c r="O3" s="146">
        <f t="shared" ref="O3:U3" si="0">+N3+1</f>
        <v>2</v>
      </c>
      <c r="P3" s="146">
        <f t="shared" si="0"/>
        <v>3</v>
      </c>
      <c r="Q3" s="146">
        <f t="shared" si="0"/>
        <v>4</v>
      </c>
      <c r="R3" s="146">
        <f t="shared" si="0"/>
        <v>5</v>
      </c>
      <c r="S3" s="146">
        <f t="shared" si="0"/>
        <v>6</v>
      </c>
      <c r="T3" s="146">
        <f t="shared" si="0"/>
        <v>7</v>
      </c>
      <c r="U3" s="146">
        <f t="shared" si="0"/>
        <v>8</v>
      </c>
      <c r="Y3" s="146">
        <v>0</v>
      </c>
      <c r="Z3" s="146">
        <f>+Y3+1</f>
        <v>1</v>
      </c>
      <c r="AA3" s="146">
        <f t="shared" ref="AA3" si="1">+Z3+1</f>
        <v>2</v>
      </c>
      <c r="AB3" s="146">
        <f t="shared" ref="AB3" si="2">+AA3+1</f>
        <v>3</v>
      </c>
      <c r="AC3" s="146">
        <f t="shared" ref="AC3" si="3">+AB3+1</f>
        <v>4</v>
      </c>
      <c r="AD3" s="146">
        <f t="shared" ref="AD3" si="4">+AC3+1</f>
        <v>5</v>
      </c>
      <c r="AE3" s="146">
        <f t="shared" ref="AE3" si="5">+AD3+1</f>
        <v>6</v>
      </c>
      <c r="AF3" s="146">
        <f t="shared" ref="AF3" si="6">+AE3+1</f>
        <v>7</v>
      </c>
      <c r="AG3" s="146">
        <f t="shared" ref="AG3" si="7">+AF3+1</f>
        <v>8</v>
      </c>
      <c r="AJ3" s="146">
        <v>0</v>
      </c>
      <c r="AK3" s="146">
        <f>+AJ3+1</f>
        <v>1</v>
      </c>
      <c r="AL3" s="146">
        <f t="shared" ref="AL3" si="8">+AK3+1</f>
        <v>2</v>
      </c>
      <c r="AM3" s="146">
        <f t="shared" ref="AM3" si="9">+AL3+1</f>
        <v>3</v>
      </c>
      <c r="AN3" s="146">
        <f t="shared" ref="AN3" si="10">+AM3+1</f>
        <v>4</v>
      </c>
      <c r="AO3" s="146">
        <f t="shared" ref="AO3" si="11">+AN3+1</f>
        <v>5</v>
      </c>
      <c r="AP3" s="146">
        <f t="shared" ref="AP3" si="12">+AO3+1</f>
        <v>6</v>
      </c>
      <c r="AQ3" s="146">
        <f t="shared" ref="AQ3" si="13">+AP3+1</f>
        <v>7</v>
      </c>
      <c r="AR3" s="146">
        <f t="shared" ref="AR3" si="14">+AQ3+1</f>
        <v>8</v>
      </c>
      <c r="AU3" s="146">
        <v>0</v>
      </c>
      <c r="AV3" s="146">
        <f>+AU3+1</f>
        <v>1</v>
      </c>
      <c r="AW3" s="146">
        <f t="shared" ref="AW3" si="15">+AV3+1</f>
        <v>2</v>
      </c>
      <c r="AX3" s="146">
        <f t="shared" ref="AX3" si="16">+AW3+1</f>
        <v>3</v>
      </c>
      <c r="AY3" s="146">
        <f t="shared" ref="AY3" si="17">+AX3+1</f>
        <v>4</v>
      </c>
      <c r="AZ3" s="146">
        <f t="shared" ref="AZ3" si="18">+AY3+1</f>
        <v>5</v>
      </c>
      <c r="BA3" s="146">
        <f t="shared" ref="BA3" si="19">+AZ3+1</f>
        <v>6</v>
      </c>
      <c r="BB3" s="146">
        <f t="shared" ref="BB3" si="20">+BA3+1</f>
        <v>7</v>
      </c>
      <c r="BC3" s="146">
        <f t="shared" ref="BC3" si="21">+BB3+1</f>
        <v>8</v>
      </c>
    </row>
    <row r="4" spans="1:55" s="41" customFormat="1" ht="32.25" customHeight="1" x14ac:dyDescent="0.35">
      <c r="B4" s="31" t="s">
        <v>226</v>
      </c>
      <c r="C4" s="32"/>
      <c r="D4" s="38"/>
      <c r="E4" s="38"/>
      <c r="F4" s="32"/>
      <c r="G4" s="31" t="s">
        <v>17</v>
      </c>
      <c r="H4" s="127" t="str">
        <f>+Assumptions!F$21</f>
        <v>I</v>
      </c>
      <c r="I4" s="127" t="str">
        <f>+Assumptions!G$21</f>
        <v>II</v>
      </c>
      <c r="J4" s="127" t="str">
        <f>+Assumptions!H$21</f>
        <v>III</v>
      </c>
      <c r="L4" s="211" t="s">
        <v>245</v>
      </c>
      <c r="M4" s="211" t="str">
        <f ca="1">+OFFSET($B$11,M3,0)</f>
        <v>Affordable Residential</v>
      </c>
      <c r="N4" s="211" t="str">
        <f t="shared" ref="N4:U4" ca="1" si="22">+OFFSET($B$11,N3,0)</f>
        <v>Market Rate Residential</v>
      </c>
      <c r="O4" s="211" t="str">
        <f t="shared" ca="1" si="22"/>
        <v>Retail</v>
      </c>
      <c r="P4" s="211" t="str">
        <f t="shared" ca="1" si="22"/>
        <v>Hotel</v>
      </c>
      <c r="Q4" s="211" t="str">
        <f t="shared" ca="1" si="22"/>
        <v>Community Facility</v>
      </c>
      <c r="R4" s="211" t="str">
        <f t="shared" ca="1" si="22"/>
        <v>Office</v>
      </c>
      <c r="S4" s="211" t="str">
        <f t="shared" ca="1" si="22"/>
        <v>Industrial</v>
      </c>
      <c r="T4" s="211" t="str">
        <f t="shared" ca="1" si="22"/>
        <v>Structural Parking</v>
      </c>
      <c r="U4" s="211" t="str">
        <f t="shared" ca="1" si="22"/>
        <v>Surface Parking</v>
      </c>
      <c r="X4" s="211" t="s">
        <v>245</v>
      </c>
      <c r="Y4" s="211" t="str">
        <f ca="1">+OFFSET($B$11,Y3,0)</f>
        <v>Affordable Residential</v>
      </c>
      <c r="Z4" s="211" t="str">
        <f t="shared" ref="Z4:AG4" ca="1" si="23">+OFFSET($B$11,Z3,0)</f>
        <v>Market Rate Residential</v>
      </c>
      <c r="AA4" s="211" t="str">
        <f t="shared" ca="1" si="23"/>
        <v>Retail</v>
      </c>
      <c r="AB4" s="211" t="str">
        <f t="shared" ca="1" si="23"/>
        <v>Hotel</v>
      </c>
      <c r="AC4" s="211" t="str">
        <f t="shared" ca="1" si="23"/>
        <v>Community Facility</v>
      </c>
      <c r="AD4" s="211" t="str">
        <f t="shared" ca="1" si="23"/>
        <v>Office</v>
      </c>
      <c r="AE4" s="211" t="str">
        <f t="shared" ca="1" si="23"/>
        <v>Industrial</v>
      </c>
      <c r="AF4" s="211" t="str">
        <f t="shared" ca="1" si="23"/>
        <v>Structural Parking</v>
      </c>
      <c r="AG4" s="211" t="str">
        <f t="shared" ca="1" si="23"/>
        <v>Surface Parking</v>
      </c>
      <c r="AI4" s="211" t="s">
        <v>245</v>
      </c>
      <c r="AJ4" s="211" t="str">
        <f ca="1">+OFFSET($B$11,AJ3,0)</f>
        <v>Affordable Residential</v>
      </c>
      <c r="AK4" s="211" t="str">
        <f t="shared" ref="AK4:AR4" ca="1" si="24">+OFFSET($B$11,AK3,0)</f>
        <v>Market Rate Residential</v>
      </c>
      <c r="AL4" s="211" t="str">
        <f t="shared" ca="1" si="24"/>
        <v>Retail</v>
      </c>
      <c r="AM4" s="211" t="str">
        <f t="shared" ca="1" si="24"/>
        <v>Hotel</v>
      </c>
      <c r="AN4" s="211" t="str">
        <f t="shared" ca="1" si="24"/>
        <v>Community Facility</v>
      </c>
      <c r="AO4" s="211" t="str">
        <f t="shared" ca="1" si="24"/>
        <v>Office</v>
      </c>
      <c r="AP4" s="211" t="str">
        <f t="shared" ca="1" si="24"/>
        <v>Industrial</v>
      </c>
      <c r="AQ4" s="211" t="str">
        <f t="shared" ca="1" si="24"/>
        <v>Structural Parking</v>
      </c>
      <c r="AR4" s="211" t="str">
        <f t="shared" ca="1" si="24"/>
        <v>Surface Parking</v>
      </c>
      <c r="AT4" s="211" t="s">
        <v>245</v>
      </c>
      <c r="AU4" s="211" t="str">
        <f ca="1">+OFFSET($B$11,AU3,0)</f>
        <v>Affordable Residential</v>
      </c>
      <c r="AV4" s="211" t="str">
        <f t="shared" ref="AV4:BC4" ca="1" si="25">+OFFSET($B$11,AV3,0)</f>
        <v>Market Rate Residential</v>
      </c>
      <c r="AW4" s="211" t="str">
        <f t="shared" ca="1" si="25"/>
        <v>Retail</v>
      </c>
      <c r="AX4" s="211" t="str">
        <f t="shared" ca="1" si="25"/>
        <v>Hotel</v>
      </c>
      <c r="AY4" s="211" t="str">
        <f t="shared" ca="1" si="25"/>
        <v>Community Facility</v>
      </c>
      <c r="AZ4" s="211" t="str">
        <f t="shared" ca="1" si="25"/>
        <v>Office</v>
      </c>
      <c r="BA4" s="211" t="str">
        <f t="shared" ca="1" si="25"/>
        <v>Industrial</v>
      </c>
      <c r="BB4" s="211" t="str">
        <f t="shared" ca="1" si="25"/>
        <v>Structural Parking</v>
      </c>
      <c r="BC4" s="211" t="str">
        <f t="shared" ca="1" si="25"/>
        <v>Surface Parking</v>
      </c>
    </row>
    <row r="5" spans="1:55" s="41" customFormat="1" x14ac:dyDescent="0.35">
      <c r="L5" s="133" t="str">
        <f>+H4</f>
        <v>I</v>
      </c>
      <c r="M5" s="108">
        <f ca="1">+INDEX($H$11:$J$19,MATCH(M$4,$B$11:$B$19,0),MATCH($L5,$H$4:$J$4,0))/INDEX($H$10:$J$10,1,MATCH($L5,$H$4:$J$4,0))</f>
        <v>7.4105837956362372E-2</v>
      </c>
      <c r="N5" s="108">
        <f t="shared" ref="N5:U7" ca="1" si="26">+INDEX($H$11:$J$19,MATCH(N$4,$B$11:$B$19,0),MATCH($L5,$H$4:$J$4,0))/INDEX($H$10:$J$10,1,MATCH($L5,$H$4:$J$4,0))</f>
        <v>0.29642335182544949</v>
      </c>
      <c r="O5" s="108">
        <f t="shared" ca="1" si="26"/>
        <v>0.14373444286030218</v>
      </c>
      <c r="P5" s="108">
        <f t="shared" ca="1" si="26"/>
        <v>0.1223892237546054</v>
      </c>
      <c r="Q5" s="108">
        <f t="shared" ca="1" si="26"/>
        <v>4.6539080475995538E-2</v>
      </c>
      <c r="R5" s="108">
        <f t="shared" ca="1" si="26"/>
        <v>0.26798981757268625</v>
      </c>
      <c r="S5" s="108">
        <f t="shared" ca="1" si="26"/>
        <v>0</v>
      </c>
      <c r="T5" s="108">
        <f t="shared" ca="1" si="26"/>
        <v>4.8818245554598794E-2</v>
      </c>
      <c r="U5" s="108">
        <f t="shared" ca="1" si="26"/>
        <v>0</v>
      </c>
      <c r="V5" s="152">
        <f ca="1">+SUM(M5:U5)</f>
        <v>1</v>
      </c>
      <c r="X5" s="133" t="s">
        <v>205</v>
      </c>
      <c r="Y5" s="108">
        <f ca="1">+$M5</f>
        <v>7.4105837956362372E-2</v>
      </c>
      <c r="Z5" s="108">
        <f ca="1">+$N5</f>
        <v>0.29642335182544949</v>
      </c>
      <c r="AA5" s="108">
        <f ca="1">+$O5</f>
        <v>0.14373444286030218</v>
      </c>
      <c r="AB5" s="108">
        <f ca="1">+$P5</f>
        <v>0.1223892237546054</v>
      </c>
      <c r="AC5" s="108">
        <f ca="1">+$Q5</f>
        <v>4.6539080475995538E-2</v>
      </c>
      <c r="AD5" s="108">
        <f ca="1">+$R5</f>
        <v>0.26798981757268625</v>
      </c>
      <c r="AE5" s="108">
        <f ca="1">+$S5</f>
        <v>0</v>
      </c>
      <c r="AF5" s="108">
        <f ca="1">+$T5</f>
        <v>4.8818245554598794E-2</v>
      </c>
      <c r="AG5" s="108">
        <f ca="1">+$U5</f>
        <v>0</v>
      </c>
      <c r="AI5" s="133" t="s">
        <v>205</v>
      </c>
      <c r="AJ5" s="108">
        <v>0</v>
      </c>
      <c r="AK5" s="108">
        <v>0</v>
      </c>
      <c r="AL5" s="108">
        <v>0</v>
      </c>
      <c r="AM5" s="108">
        <v>0</v>
      </c>
      <c r="AN5" s="108">
        <v>0</v>
      </c>
      <c r="AO5" s="108">
        <v>0</v>
      </c>
      <c r="AP5" s="108">
        <v>0</v>
      </c>
      <c r="AQ5" s="108">
        <v>0</v>
      </c>
      <c r="AR5" s="108">
        <v>0</v>
      </c>
      <c r="AT5" s="133" t="s">
        <v>205</v>
      </c>
      <c r="AU5" s="108">
        <v>0</v>
      </c>
      <c r="AV5" s="108">
        <v>0</v>
      </c>
      <c r="AW5" s="108">
        <v>0</v>
      </c>
      <c r="AX5" s="108">
        <v>0</v>
      </c>
      <c r="AY5" s="108">
        <v>0</v>
      </c>
      <c r="AZ5" s="108">
        <v>0</v>
      </c>
      <c r="BA5" s="108">
        <v>0</v>
      </c>
      <c r="BB5" s="108">
        <v>0</v>
      </c>
      <c r="BC5" s="108">
        <v>0</v>
      </c>
    </row>
    <row r="6" spans="1:55" s="41" customFormat="1" x14ac:dyDescent="0.35">
      <c r="L6" s="133" t="str">
        <f>+I4</f>
        <v>II</v>
      </c>
      <c r="M6" s="108">
        <f t="shared" ref="M6:M7" ca="1" si="27">+INDEX($H$11:$J$19,MATCH(M$4,$B$11:$B$19,0),MATCH($L6,$H$4:$J$4,0))/INDEX($H$10:$J$10,1,MATCH($L6,$H$4:$J$4,0))</f>
        <v>9.1129515803352684E-2</v>
      </c>
      <c r="N6" s="108">
        <f t="shared" ca="1" si="26"/>
        <v>0.36451806321341074</v>
      </c>
      <c r="O6" s="108">
        <f t="shared" ca="1" si="26"/>
        <v>0.15571299869868421</v>
      </c>
      <c r="P6" s="108">
        <f t="shared" ca="1" si="26"/>
        <v>0.12986261866796631</v>
      </c>
      <c r="Q6" s="108">
        <f t="shared" ca="1" si="26"/>
        <v>0</v>
      </c>
      <c r="R6" s="108">
        <f t="shared" ca="1" si="26"/>
        <v>0.151597726590219</v>
      </c>
      <c r="S6" s="108">
        <f t="shared" ca="1" si="26"/>
        <v>0</v>
      </c>
      <c r="T6" s="108">
        <f t="shared" ca="1" si="26"/>
        <v>0.10717907702636706</v>
      </c>
      <c r="U6" s="108">
        <f t="shared" ca="1" si="26"/>
        <v>0</v>
      </c>
      <c r="V6" s="152">
        <f ca="1">+SUM(M6:U6)</f>
        <v>1</v>
      </c>
      <c r="X6" s="133" t="s">
        <v>243</v>
      </c>
      <c r="Y6" s="108">
        <v>0</v>
      </c>
      <c r="Z6" s="108">
        <v>0</v>
      </c>
      <c r="AA6" s="108">
        <v>0</v>
      </c>
      <c r="AB6" s="108">
        <v>0</v>
      </c>
      <c r="AC6" s="108">
        <v>0</v>
      </c>
      <c r="AD6" s="108">
        <v>0</v>
      </c>
      <c r="AE6" s="108">
        <v>0</v>
      </c>
      <c r="AF6" s="108">
        <v>0</v>
      </c>
      <c r="AG6" s="108">
        <v>0</v>
      </c>
      <c r="AI6" s="133" t="s">
        <v>243</v>
      </c>
      <c r="AJ6" s="108">
        <f ca="1">+$M6</f>
        <v>9.1129515803352684E-2</v>
      </c>
      <c r="AK6" s="108">
        <f ca="1">+$N6</f>
        <v>0.36451806321341074</v>
      </c>
      <c r="AL6" s="108">
        <f ca="1">+$O6</f>
        <v>0.15571299869868421</v>
      </c>
      <c r="AM6" s="108">
        <f ca="1">+$P6</f>
        <v>0.12986261866796631</v>
      </c>
      <c r="AN6" s="108">
        <f ca="1">+$Q6</f>
        <v>0</v>
      </c>
      <c r="AO6" s="108">
        <f ca="1">+$R6</f>
        <v>0.151597726590219</v>
      </c>
      <c r="AP6" s="108">
        <f ca="1">+$S6</f>
        <v>0</v>
      </c>
      <c r="AQ6" s="108">
        <f ca="1">+$T6</f>
        <v>0.10717907702636706</v>
      </c>
      <c r="AR6" s="108">
        <f ca="1">+$U6</f>
        <v>0</v>
      </c>
      <c r="AT6" s="133" t="s">
        <v>243</v>
      </c>
      <c r="AU6" s="108">
        <v>0</v>
      </c>
      <c r="AV6" s="108">
        <v>0</v>
      </c>
      <c r="AW6" s="108">
        <v>0</v>
      </c>
      <c r="AX6" s="108">
        <v>0</v>
      </c>
      <c r="AY6" s="108">
        <v>0</v>
      </c>
      <c r="AZ6" s="108">
        <v>0</v>
      </c>
      <c r="BA6" s="108">
        <v>0</v>
      </c>
      <c r="BB6" s="108">
        <v>0</v>
      </c>
      <c r="BC6" s="108">
        <v>0</v>
      </c>
    </row>
    <row r="7" spans="1:55" s="41" customFormat="1" x14ac:dyDescent="0.35">
      <c r="L7" s="133" t="str">
        <f>+J4</f>
        <v>III</v>
      </c>
      <c r="M7" s="108">
        <f t="shared" ca="1" si="27"/>
        <v>6.0874997718965304E-2</v>
      </c>
      <c r="N7" s="108">
        <f t="shared" ca="1" si="26"/>
        <v>0.24349999087586122</v>
      </c>
      <c r="O7" s="108">
        <f t="shared" ca="1" si="26"/>
        <v>4.4513800528391823E-2</v>
      </c>
      <c r="P7" s="108">
        <f t="shared" ca="1" si="26"/>
        <v>1.2710621274296808E-2</v>
      </c>
      <c r="Q7" s="108">
        <f t="shared" ca="1" si="26"/>
        <v>4.4445606272507654E-2</v>
      </c>
      <c r="R7" s="108">
        <f t="shared" ca="1" si="26"/>
        <v>0.3480976423035741</v>
      </c>
      <c r="S7" s="108">
        <f t="shared" ca="1" si="26"/>
        <v>0.13333681881752296</v>
      </c>
      <c r="T7" s="108">
        <f t="shared" ca="1" si="26"/>
        <v>2.7277702353667912E-2</v>
      </c>
      <c r="U7" s="108">
        <f t="shared" ca="1" si="26"/>
        <v>8.5242819855212232E-2</v>
      </c>
      <c r="V7" s="152">
        <f ca="1">+SUM(M7:U7)</f>
        <v>1</v>
      </c>
      <c r="X7" s="133" t="s">
        <v>244</v>
      </c>
      <c r="Y7" s="108">
        <v>0</v>
      </c>
      <c r="Z7" s="108">
        <v>0</v>
      </c>
      <c r="AA7" s="108">
        <v>0</v>
      </c>
      <c r="AB7" s="108">
        <v>0</v>
      </c>
      <c r="AC7" s="108">
        <v>0</v>
      </c>
      <c r="AD7" s="108">
        <v>0</v>
      </c>
      <c r="AE7" s="108">
        <v>0</v>
      </c>
      <c r="AF7" s="108">
        <v>0</v>
      </c>
      <c r="AG7" s="108">
        <v>0</v>
      </c>
      <c r="AI7" s="133" t="s">
        <v>244</v>
      </c>
      <c r="AJ7" s="108">
        <v>0</v>
      </c>
      <c r="AK7" s="108">
        <v>0</v>
      </c>
      <c r="AL7" s="108">
        <v>0</v>
      </c>
      <c r="AM7" s="108">
        <v>0</v>
      </c>
      <c r="AN7" s="108">
        <v>0</v>
      </c>
      <c r="AO7" s="108">
        <v>0</v>
      </c>
      <c r="AP7" s="108">
        <v>0</v>
      </c>
      <c r="AQ7" s="108">
        <v>0</v>
      </c>
      <c r="AR7" s="108">
        <v>0</v>
      </c>
      <c r="AT7" s="133" t="s">
        <v>244</v>
      </c>
      <c r="AU7" s="108">
        <f ca="1">+$M7</f>
        <v>6.0874997718965304E-2</v>
      </c>
      <c r="AV7" s="108">
        <f ca="1">+$N7</f>
        <v>0.24349999087586122</v>
      </c>
      <c r="AW7" s="108">
        <f ca="1">+$O7</f>
        <v>4.4513800528391823E-2</v>
      </c>
      <c r="AX7" s="108">
        <f ca="1">+$P7</f>
        <v>1.2710621274296808E-2</v>
      </c>
      <c r="AY7" s="108">
        <f ca="1">+$Q7</f>
        <v>4.4445606272507654E-2</v>
      </c>
      <c r="AZ7" s="108">
        <f ca="1">+$R7</f>
        <v>0.3480976423035741</v>
      </c>
      <c r="BA7" s="108">
        <f ca="1">+$S7</f>
        <v>0.13333681881752296</v>
      </c>
      <c r="BB7" s="108">
        <f ca="1">+$T7</f>
        <v>2.7277702353667912E-2</v>
      </c>
      <c r="BC7" s="108">
        <f ca="1">+$U7</f>
        <v>8.5242819855212232E-2</v>
      </c>
    </row>
    <row r="8" spans="1:55" s="41" customFormat="1" x14ac:dyDescent="0.35"/>
    <row r="9" spans="1:55" x14ac:dyDescent="0.35">
      <c r="B9" s="9" t="s">
        <v>615</v>
      </c>
      <c r="H9" s="209">
        <v>20000</v>
      </c>
      <c r="I9" s="209">
        <v>0</v>
      </c>
      <c r="J9" s="209">
        <v>0</v>
      </c>
      <c r="M9" s="151"/>
      <c r="N9" s="151"/>
      <c r="O9" s="151"/>
      <c r="P9" s="151"/>
      <c r="Q9" s="151"/>
      <c r="R9" s="151"/>
      <c r="S9" s="151"/>
      <c r="T9" s="151"/>
      <c r="U9" s="151"/>
      <c r="X9" s="41"/>
      <c r="Y9" s="151"/>
      <c r="Z9" s="151"/>
      <c r="AA9" s="151"/>
      <c r="AB9" s="151"/>
      <c r="AC9" s="151"/>
      <c r="AD9" s="151"/>
      <c r="AE9" s="151"/>
      <c r="AF9" s="151"/>
      <c r="AG9" s="151"/>
      <c r="AI9" s="41"/>
      <c r="AJ9" s="151"/>
      <c r="AK9" s="151"/>
      <c r="AL9" s="151"/>
      <c r="AM9" s="151"/>
      <c r="AN9" s="151"/>
      <c r="AO9" s="151"/>
      <c r="AP9" s="151"/>
      <c r="AQ9" s="151"/>
      <c r="AR9" s="151"/>
      <c r="AT9" s="41"/>
      <c r="AU9" s="151"/>
      <c r="AV9" s="151"/>
      <c r="AW9" s="151"/>
      <c r="AX9" s="151"/>
      <c r="AY9" s="151"/>
      <c r="AZ9" s="151"/>
      <c r="BA9" s="151"/>
      <c r="BB9" s="151"/>
      <c r="BC9" s="151"/>
    </row>
    <row r="10" spans="1:55" x14ac:dyDescent="0.35">
      <c r="B10" s="133" t="s">
        <v>90</v>
      </c>
      <c r="G10" s="24">
        <f t="shared" ref="G10:G20" ca="1" si="28">+SUM(H10:J10)</f>
        <v>4448862</v>
      </c>
      <c r="H10" s="19">
        <f ca="1">+SUM(H11:H19)</f>
        <v>1700184</v>
      </c>
      <c r="I10" s="19">
        <f t="shared" ref="I10:J10" ca="1" si="29">+SUM(I11:I19)</f>
        <v>988999</v>
      </c>
      <c r="J10" s="19">
        <f t="shared" ca="1" si="29"/>
        <v>1759679</v>
      </c>
      <c r="M10" s="151"/>
      <c r="N10" s="151"/>
      <c r="O10" s="151"/>
      <c r="P10" s="151"/>
      <c r="Q10" s="151"/>
      <c r="R10" s="151"/>
      <c r="S10" s="151"/>
      <c r="T10" s="151"/>
      <c r="U10" s="151"/>
      <c r="X10" s="41"/>
      <c r="Y10" s="151"/>
      <c r="Z10" s="151"/>
      <c r="AA10" s="151"/>
      <c r="AB10" s="151"/>
      <c r="AC10" s="151"/>
      <c r="AD10" s="151"/>
      <c r="AE10" s="151"/>
      <c r="AF10" s="151"/>
      <c r="AG10" s="151"/>
      <c r="AI10" s="41"/>
      <c r="AJ10" s="151"/>
      <c r="AK10" s="151"/>
      <c r="AL10" s="151"/>
      <c r="AM10" s="151"/>
      <c r="AN10" s="151"/>
      <c r="AO10" s="151"/>
      <c r="AP10" s="151"/>
      <c r="AQ10" s="151"/>
      <c r="AR10" s="151"/>
      <c r="AT10" s="41"/>
      <c r="AU10" s="151"/>
      <c r="AV10" s="151"/>
      <c r="AW10" s="151"/>
      <c r="AX10" s="151"/>
      <c r="AY10" s="151"/>
      <c r="AZ10" s="151"/>
      <c r="BA10" s="151"/>
      <c r="BB10" s="151"/>
      <c r="BC10" s="151"/>
    </row>
    <row r="11" spans="1:55" x14ac:dyDescent="0.35">
      <c r="B11" s="64" t="s">
        <v>143</v>
      </c>
      <c r="G11" s="24">
        <f t="shared" ca="1" si="28"/>
        <v>323241.01511111116</v>
      </c>
      <c r="H11" s="30">
        <f ca="1">+Assumptions!N34</f>
        <v>125993.56</v>
      </c>
      <c r="I11" s="30">
        <f ca="1">+Assumptions!O34</f>
        <v>90127</v>
      </c>
      <c r="J11" s="30">
        <f ca="1">+Assumptions!P34</f>
        <v>107120.45511111115</v>
      </c>
      <c r="M11" s="151">
        <f ca="1">+$G$11</f>
        <v>323241.01511111116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>
        <v>0</v>
      </c>
      <c r="U11" s="151">
        <v>0</v>
      </c>
      <c r="X11" s="41"/>
      <c r="Y11" s="151">
        <f ca="1">+$H$11</f>
        <v>125993.56</v>
      </c>
      <c r="Z11" s="151">
        <v>0</v>
      </c>
      <c r="AA11" s="151">
        <v>0</v>
      </c>
      <c r="AB11" s="151">
        <v>0</v>
      </c>
      <c r="AC11" s="151">
        <v>0</v>
      </c>
      <c r="AD11" s="151">
        <v>0</v>
      </c>
      <c r="AE11" s="151">
        <v>0</v>
      </c>
      <c r="AF11" s="151">
        <v>0</v>
      </c>
      <c r="AG11" s="151">
        <v>0</v>
      </c>
      <c r="AI11" s="41"/>
      <c r="AJ11" s="151">
        <f ca="1">+$I$11</f>
        <v>90127</v>
      </c>
      <c r="AK11" s="151">
        <v>0</v>
      </c>
      <c r="AL11" s="151">
        <v>0</v>
      </c>
      <c r="AM11" s="151">
        <v>0</v>
      </c>
      <c r="AN11" s="151">
        <v>0</v>
      </c>
      <c r="AO11" s="151">
        <v>0</v>
      </c>
      <c r="AP11" s="151">
        <v>0</v>
      </c>
      <c r="AQ11" s="151">
        <v>0</v>
      </c>
      <c r="AR11" s="151">
        <v>0</v>
      </c>
      <c r="AT11" s="41"/>
      <c r="AU11" s="151">
        <f ca="1">+$J$11</f>
        <v>107120.45511111115</v>
      </c>
      <c r="AV11" s="151">
        <v>0</v>
      </c>
      <c r="AW11" s="151">
        <v>0</v>
      </c>
      <c r="AX11" s="151">
        <v>0</v>
      </c>
      <c r="AY11" s="151">
        <v>0</v>
      </c>
      <c r="AZ11" s="151">
        <v>0</v>
      </c>
      <c r="BA11" s="151">
        <v>0</v>
      </c>
      <c r="BB11" s="151">
        <v>0</v>
      </c>
      <c r="BC11" s="151">
        <v>0</v>
      </c>
    </row>
    <row r="12" spans="1:55" x14ac:dyDescent="0.35">
      <c r="B12" s="64" t="s">
        <v>144</v>
      </c>
      <c r="G12" s="24">
        <f t="shared" ca="1" si="28"/>
        <v>1292964.0604444447</v>
      </c>
      <c r="H12" s="30">
        <f ca="1">+Assumptions!N35</f>
        <v>503974.24</v>
      </c>
      <c r="I12" s="30">
        <f ca="1">+Assumptions!O35</f>
        <v>360508</v>
      </c>
      <c r="J12" s="30">
        <f ca="1">+Assumptions!P35</f>
        <v>428481.8204444446</v>
      </c>
      <c r="M12" s="151">
        <v>0</v>
      </c>
      <c r="N12" s="151">
        <f ca="1">+$G$12</f>
        <v>1292964.0604444447</v>
      </c>
      <c r="O12" s="151">
        <v>0</v>
      </c>
      <c r="P12" s="151">
        <v>0</v>
      </c>
      <c r="Q12" s="151">
        <v>0</v>
      </c>
      <c r="R12" s="151">
        <v>0</v>
      </c>
      <c r="S12" s="151">
        <v>0</v>
      </c>
      <c r="T12" s="151">
        <v>0</v>
      </c>
      <c r="U12" s="151">
        <v>0</v>
      </c>
      <c r="X12" s="41"/>
      <c r="Y12" s="151">
        <v>0</v>
      </c>
      <c r="Z12" s="151">
        <f ca="1">+$H$12</f>
        <v>503974.24</v>
      </c>
      <c r="AA12" s="151">
        <v>0</v>
      </c>
      <c r="AB12" s="151">
        <v>0</v>
      </c>
      <c r="AC12" s="151">
        <v>0</v>
      </c>
      <c r="AD12" s="151">
        <v>0</v>
      </c>
      <c r="AE12" s="151">
        <v>0</v>
      </c>
      <c r="AF12" s="151">
        <v>0</v>
      </c>
      <c r="AG12" s="151">
        <v>0</v>
      </c>
      <c r="AI12" s="41"/>
      <c r="AJ12" s="151">
        <v>0</v>
      </c>
      <c r="AK12" s="151">
        <f ca="1">+$I$12</f>
        <v>360508</v>
      </c>
      <c r="AL12" s="151">
        <v>0</v>
      </c>
      <c r="AM12" s="151">
        <v>0</v>
      </c>
      <c r="AN12" s="151">
        <v>0</v>
      </c>
      <c r="AO12" s="151">
        <v>0</v>
      </c>
      <c r="AP12" s="151">
        <v>0</v>
      </c>
      <c r="AQ12" s="151">
        <v>0</v>
      </c>
      <c r="AR12" s="151">
        <v>0</v>
      </c>
      <c r="AT12" s="41"/>
      <c r="AU12" s="151">
        <v>0</v>
      </c>
      <c r="AV12" s="151">
        <f ca="1">+$J$12</f>
        <v>428481.8204444446</v>
      </c>
      <c r="AW12" s="151">
        <v>0</v>
      </c>
      <c r="AX12" s="151">
        <v>0</v>
      </c>
      <c r="AY12" s="151">
        <v>0</v>
      </c>
      <c r="AZ12" s="151">
        <v>0</v>
      </c>
      <c r="BA12" s="151">
        <v>0</v>
      </c>
      <c r="BB12" s="151">
        <v>0</v>
      </c>
      <c r="BC12" s="151">
        <v>0</v>
      </c>
    </row>
    <row r="13" spans="1:55" x14ac:dyDescent="0.35">
      <c r="B13" s="64" t="s">
        <v>25</v>
      </c>
      <c r="G13" s="24">
        <f t="shared" ca="1" si="28"/>
        <v>476705</v>
      </c>
      <c r="H13" s="30">
        <f ca="1">+Assumptions!N36</f>
        <v>244375</v>
      </c>
      <c r="I13" s="30">
        <f ca="1">+Assumptions!O36</f>
        <v>154000</v>
      </c>
      <c r="J13" s="30">
        <f ca="1">+Assumptions!P36</f>
        <v>78330</v>
      </c>
      <c r="M13" s="151">
        <v>0</v>
      </c>
      <c r="N13" s="151">
        <v>0</v>
      </c>
      <c r="O13" s="151">
        <f ca="1">+$G$13</f>
        <v>476705</v>
      </c>
      <c r="P13" s="151">
        <v>0</v>
      </c>
      <c r="Q13" s="151">
        <v>0</v>
      </c>
      <c r="R13" s="151">
        <v>0</v>
      </c>
      <c r="S13" s="151">
        <v>0</v>
      </c>
      <c r="T13" s="151">
        <v>0</v>
      </c>
      <c r="U13" s="151">
        <v>0</v>
      </c>
      <c r="X13" s="41"/>
      <c r="Y13" s="151">
        <v>0</v>
      </c>
      <c r="Z13" s="151">
        <v>0</v>
      </c>
      <c r="AA13" s="151">
        <f ca="1">+$H$13</f>
        <v>244375</v>
      </c>
      <c r="AB13" s="151">
        <v>0</v>
      </c>
      <c r="AC13" s="151">
        <v>0</v>
      </c>
      <c r="AD13" s="151">
        <v>0</v>
      </c>
      <c r="AE13" s="151">
        <v>0</v>
      </c>
      <c r="AF13" s="151">
        <v>0</v>
      </c>
      <c r="AG13" s="151">
        <v>0</v>
      </c>
      <c r="AI13" s="41"/>
      <c r="AJ13" s="151">
        <v>0</v>
      </c>
      <c r="AK13" s="151">
        <v>0</v>
      </c>
      <c r="AL13" s="151">
        <f ca="1">+$I$13</f>
        <v>154000</v>
      </c>
      <c r="AM13" s="151">
        <v>0</v>
      </c>
      <c r="AN13" s="151">
        <v>0</v>
      </c>
      <c r="AO13" s="151">
        <v>0</v>
      </c>
      <c r="AP13" s="151">
        <v>0</v>
      </c>
      <c r="AQ13" s="151">
        <v>0</v>
      </c>
      <c r="AR13" s="151">
        <v>0</v>
      </c>
      <c r="AT13" s="41"/>
      <c r="AU13" s="151">
        <v>0</v>
      </c>
      <c r="AV13" s="151">
        <v>0</v>
      </c>
      <c r="AW13" s="151">
        <f ca="1">+$J$13</f>
        <v>78330</v>
      </c>
      <c r="AX13" s="151">
        <v>0</v>
      </c>
      <c r="AY13" s="151">
        <v>0</v>
      </c>
      <c r="AZ13" s="151">
        <v>0</v>
      </c>
      <c r="BA13" s="151">
        <v>0</v>
      </c>
      <c r="BB13" s="151">
        <v>0</v>
      </c>
      <c r="BC13" s="151">
        <v>0</v>
      </c>
    </row>
    <row r="14" spans="1:55" x14ac:dyDescent="0.35">
      <c r="B14" s="64" t="s">
        <v>26</v>
      </c>
      <c r="G14" s="24">
        <f t="shared" ca="1" si="28"/>
        <v>358884.81333333335</v>
      </c>
      <c r="H14" s="30">
        <f ca="1">+Assumptions!N37</f>
        <v>208084.2</v>
      </c>
      <c r="I14" s="30">
        <f ca="1">+Assumptions!O37</f>
        <v>128434</v>
      </c>
      <c r="J14" s="30">
        <f ca="1">+Assumptions!P37</f>
        <v>22366.613333333331</v>
      </c>
      <c r="M14" s="151">
        <v>0</v>
      </c>
      <c r="N14" s="151">
        <v>0</v>
      </c>
      <c r="O14" s="151">
        <v>0</v>
      </c>
      <c r="P14" s="151">
        <f ca="1">+$G$14</f>
        <v>358884.81333333335</v>
      </c>
      <c r="Q14" s="151">
        <v>0</v>
      </c>
      <c r="R14" s="151">
        <v>0</v>
      </c>
      <c r="S14" s="151">
        <v>0</v>
      </c>
      <c r="T14" s="151">
        <v>0</v>
      </c>
      <c r="U14" s="151">
        <v>0</v>
      </c>
      <c r="X14" s="41"/>
      <c r="Y14" s="151">
        <v>0</v>
      </c>
      <c r="Z14" s="151">
        <v>0</v>
      </c>
      <c r="AA14" s="151">
        <v>0</v>
      </c>
      <c r="AB14" s="151">
        <f ca="1">+$H$14</f>
        <v>208084.2</v>
      </c>
      <c r="AC14" s="151">
        <v>0</v>
      </c>
      <c r="AD14" s="151">
        <v>0</v>
      </c>
      <c r="AE14" s="151">
        <v>0</v>
      </c>
      <c r="AF14" s="151">
        <v>0</v>
      </c>
      <c r="AG14" s="151">
        <v>0</v>
      </c>
      <c r="AI14" s="41"/>
      <c r="AJ14" s="151">
        <v>0</v>
      </c>
      <c r="AK14" s="151">
        <v>0</v>
      </c>
      <c r="AL14" s="151">
        <v>0</v>
      </c>
      <c r="AM14" s="151">
        <f ca="1">+$I$14</f>
        <v>128434</v>
      </c>
      <c r="AN14" s="151">
        <v>0</v>
      </c>
      <c r="AO14" s="151">
        <v>0</v>
      </c>
      <c r="AP14" s="151">
        <v>0</v>
      </c>
      <c r="AQ14" s="151">
        <v>0</v>
      </c>
      <c r="AR14" s="151">
        <v>0</v>
      </c>
      <c r="AT14" s="41"/>
      <c r="AU14" s="151">
        <v>0</v>
      </c>
      <c r="AV14" s="151">
        <v>0</v>
      </c>
      <c r="AW14" s="151">
        <v>0</v>
      </c>
      <c r="AX14" s="151">
        <f ca="1">+$J$14</f>
        <v>22366.613333333331</v>
      </c>
      <c r="AY14" s="151">
        <v>0</v>
      </c>
      <c r="AZ14" s="151">
        <v>0</v>
      </c>
      <c r="BA14" s="151">
        <v>0</v>
      </c>
      <c r="BB14" s="151">
        <v>0</v>
      </c>
      <c r="BC14" s="151">
        <v>0</v>
      </c>
    </row>
    <row r="15" spans="1:55" x14ac:dyDescent="0.35">
      <c r="B15" s="64" t="s">
        <v>147</v>
      </c>
      <c r="G15" s="24">
        <f t="shared" ca="1" si="28"/>
        <v>157335</v>
      </c>
      <c r="H15" s="30">
        <f ca="1">+Assumptions!N38</f>
        <v>79125</v>
      </c>
      <c r="I15" s="30">
        <f ca="1">+Assumptions!O38</f>
        <v>0</v>
      </c>
      <c r="J15" s="30">
        <f ca="1">+Assumptions!P38</f>
        <v>78210</v>
      </c>
      <c r="M15" s="151">
        <v>0</v>
      </c>
      <c r="N15" s="151">
        <v>0</v>
      </c>
      <c r="O15" s="151">
        <v>0</v>
      </c>
      <c r="P15" s="151">
        <v>0</v>
      </c>
      <c r="Q15" s="151">
        <f ca="1">+$G$15</f>
        <v>157335</v>
      </c>
      <c r="R15" s="151">
        <v>0</v>
      </c>
      <c r="S15" s="151">
        <v>0</v>
      </c>
      <c r="T15" s="151">
        <v>0</v>
      </c>
      <c r="U15" s="151">
        <v>0</v>
      </c>
      <c r="X15" s="41"/>
      <c r="Y15" s="151">
        <v>0</v>
      </c>
      <c r="Z15" s="151">
        <v>0</v>
      </c>
      <c r="AA15" s="151">
        <v>0</v>
      </c>
      <c r="AB15" s="151">
        <v>0</v>
      </c>
      <c r="AC15" s="151">
        <f ca="1">+$H$15</f>
        <v>79125</v>
      </c>
      <c r="AD15" s="151">
        <v>0</v>
      </c>
      <c r="AE15" s="151">
        <v>0</v>
      </c>
      <c r="AF15" s="151">
        <v>0</v>
      </c>
      <c r="AG15" s="151">
        <v>0</v>
      </c>
      <c r="AI15" s="41"/>
      <c r="AJ15" s="151">
        <v>0</v>
      </c>
      <c r="AK15" s="151">
        <v>0</v>
      </c>
      <c r="AL15" s="151">
        <v>0</v>
      </c>
      <c r="AM15" s="151">
        <v>0</v>
      </c>
      <c r="AN15" s="151">
        <f ca="1">+$I$15</f>
        <v>0</v>
      </c>
      <c r="AO15" s="151">
        <v>0</v>
      </c>
      <c r="AP15" s="151">
        <v>0</v>
      </c>
      <c r="AQ15" s="151">
        <v>0</v>
      </c>
      <c r="AR15" s="151">
        <v>0</v>
      </c>
      <c r="AT15" s="41"/>
      <c r="AU15" s="151">
        <v>0</v>
      </c>
      <c r="AV15" s="151">
        <v>0</v>
      </c>
      <c r="AW15" s="151">
        <v>0</v>
      </c>
      <c r="AX15" s="151">
        <v>0</v>
      </c>
      <c r="AY15" s="151">
        <f ca="1">+$J$15</f>
        <v>78210</v>
      </c>
      <c r="AZ15" s="151">
        <v>0</v>
      </c>
      <c r="BA15" s="151">
        <v>0</v>
      </c>
      <c r="BB15" s="151">
        <v>0</v>
      </c>
      <c r="BC15" s="151">
        <v>0</v>
      </c>
    </row>
    <row r="16" spans="1:55" x14ac:dyDescent="0.35">
      <c r="B16" s="64" t="s">
        <v>148</v>
      </c>
      <c r="G16" s="24">
        <f t="shared" ca="1" si="28"/>
        <v>1218102.111111111</v>
      </c>
      <c r="H16" s="30">
        <f ca="1">+Assumptions!N39</f>
        <v>455632</v>
      </c>
      <c r="I16" s="30">
        <f ca="1">+Assumptions!O39</f>
        <v>149930</v>
      </c>
      <c r="J16" s="30">
        <f ca="1">+Assumptions!P39</f>
        <v>612540.11111111101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f ca="1">+$G$16</f>
        <v>1218102.111111111</v>
      </c>
      <c r="S16" s="151">
        <v>0</v>
      </c>
      <c r="T16" s="151">
        <v>0</v>
      </c>
      <c r="U16" s="151">
        <v>0</v>
      </c>
      <c r="X16" s="41"/>
      <c r="Y16" s="151">
        <v>0</v>
      </c>
      <c r="Z16" s="151">
        <v>0</v>
      </c>
      <c r="AA16" s="151">
        <v>0</v>
      </c>
      <c r="AB16" s="151">
        <v>0</v>
      </c>
      <c r="AC16" s="151">
        <v>0</v>
      </c>
      <c r="AD16" s="151">
        <f ca="1">+$H$16</f>
        <v>455632</v>
      </c>
      <c r="AE16" s="151">
        <v>0</v>
      </c>
      <c r="AF16" s="151">
        <v>0</v>
      </c>
      <c r="AG16" s="151">
        <v>0</v>
      </c>
      <c r="AI16" s="41"/>
      <c r="AJ16" s="151">
        <v>0</v>
      </c>
      <c r="AK16" s="151">
        <v>0</v>
      </c>
      <c r="AL16" s="151">
        <v>0</v>
      </c>
      <c r="AM16" s="151">
        <v>0</v>
      </c>
      <c r="AN16" s="151">
        <v>0</v>
      </c>
      <c r="AO16" s="151">
        <f ca="1">+$I$16</f>
        <v>149930</v>
      </c>
      <c r="AP16" s="151">
        <v>0</v>
      </c>
      <c r="AQ16" s="151">
        <v>0</v>
      </c>
      <c r="AR16" s="151">
        <v>0</v>
      </c>
      <c r="AT16" s="41"/>
      <c r="AU16" s="151">
        <v>0</v>
      </c>
      <c r="AV16" s="151">
        <v>0</v>
      </c>
      <c r="AW16" s="151">
        <v>0</v>
      </c>
      <c r="AX16" s="151">
        <v>0</v>
      </c>
      <c r="AY16" s="151">
        <v>0</v>
      </c>
      <c r="AZ16" s="151">
        <f ca="1">+$J$16</f>
        <v>612540.11111111101</v>
      </c>
      <c r="BA16" s="151">
        <v>0</v>
      </c>
      <c r="BB16" s="151">
        <v>0</v>
      </c>
      <c r="BC16" s="151">
        <v>0</v>
      </c>
    </row>
    <row r="17" spans="2:55" s="41" customFormat="1" x14ac:dyDescent="0.35">
      <c r="B17" s="64" t="s">
        <v>238</v>
      </c>
      <c r="G17" s="24">
        <f t="shared" ca="1" si="28"/>
        <v>234630</v>
      </c>
      <c r="H17" s="30">
        <f ca="1">+Assumptions!N40</f>
        <v>0</v>
      </c>
      <c r="I17" s="30">
        <f ca="1">+Assumptions!O40</f>
        <v>0</v>
      </c>
      <c r="J17" s="30">
        <f ca="1">+Assumptions!P40</f>
        <v>234630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f ca="1">+$G$17</f>
        <v>234630</v>
      </c>
      <c r="T17" s="151">
        <v>0</v>
      </c>
      <c r="U17" s="151">
        <v>0</v>
      </c>
      <c r="Y17" s="151">
        <v>0</v>
      </c>
      <c r="Z17" s="151">
        <v>0</v>
      </c>
      <c r="AA17" s="151">
        <v>0</v>
      </c>
      <c r="AB17" s="151">
        <v>0</v>
      </c>
      <c r="AC17" s="151">
        <v>0</v>
      </c>
      <c r="AD17" s="151">
        <v>0</v>
      </c>
      <c r="AE17" s="151">
        <f ca="1">+$H$17</f>
        <v>0</v>
      </c>
      <c r="AF17" s="151">
        <v>0</v>
      </c>
      <c r="AG17" s="151">
        <v>0</v>
      </c>
      <c r="AJ17" s="151">
        <v>0</v>
      </c>
      <c r="AK17" s="151">
        <v>0</v>
      </c>
      <c r="AL17" s="151">
        <v>0</v>
      </c>
      <c r="AM17" s="151">
        <v>0</v>
      </c>
      <c r="AN17" s="151">
        <v>0</v>
      </c>
      <c r="AO17" s="151">
        <v>0</v>
      </c>
      <c r="AP17" s="151">
        <f ca="1">+$I$17</f>
        <v>0</v>
      </c>
      <c r="AQ17" s="151">
        <v>0</v>
      </c>
      <c r="AR17" s="151">
        <v>0</v>
      </c>
      <c r="AU17" s="151">
        <v>0</v>
      </c>
      <c r="AV17" s="151">
        <v>0</v>
      </c>
      <c r="AW17" s="151">
        <v>0</v>
      </c>
      <c r="AX17" s="151">
        <v>0</v>
      </c>
      <c r="AY17" s="151">
        <v>0</v>
      </c>
      <c r="AZ17" s="151">
        <v>0</v>
      </c>
      <c r="BA17" s="151">
        <f ca="1">+$J$17</f>
        <v>234630</v>
      </c>
      <c r="BB17" s="151">
        <v>0</v>
      </c>
      <c r="BC17" s="151">
        <v>0</v>
      </c>
    </row>
    <row r="18" spans="2:55" x14ac:dyDescent="0.35">
      <c r="B18" s="64" t="s">
        <v>213</v>
      </c>
      <c r="G18" s="24">
        <f t="shared" ca="1" si="28"/>
        <v>237000</v>
      </c>
      <c r="H18" s="30">
        <f ca="1">+Assumptions!N41</f>
        <v>83000</v>
      </c>
      <c r="I18" s="30">
        <f ca="1">+Assumptions!O41</f>
        <v>106000</v>
      </c>
      <c r="J18" s="30">
        <f ca="1">+Assumptions!P41</f>
        <v>48000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51">
        <f ca="1">+$G$18</f>
        <v>237000</v>
      </c>
      <c r="U18" s="151">
        <v>0</v>
      </c>
      <c r="X18" s="41"/>
      <c r="Y18" s="151">
        <v>0</v>
      </c>
      <c r="Z18" s="151">
        <v>0</v>
      </c>
      <c r="AA18" s="151">
        <v>0</v>
      </c>
      <c r="AB18" s="151">
        <v>0</v>
      </c>
      <c r="AC18" s="151">
        <v>0</v>
      </c>
      <c r="AD18" s="151">
        <v>0</v>
      </c>
      <c r="AE18" s="151">
        <v>0</v>
      </c>
      <c r="AF18" s="151">
        <f ca="1">+$H$18</f>
        <v>83000</v>
      </c>
      <c r="AG18" s="151">
        <v>0</v>
      </c>
      <c r="AI18" s="41"/>
      <c r="AJ18" s="151">
        <v>0</v>
      </c>
      <c r="AK18" s="151">
        <v>0</v>
      </c>
      <c r="AL18" s="151">
        <v>0</v>
      </c>
      <c r="AM18" s="151">
        <v>0</v>
      </c>
      <c r="AN18" s="151">
        <v>0</v>
      </c>
      <c r="AO18" s="151">
        <v>0</v>
      </c>
      <c r="AP18" s="151">
        <v>0</v>
      </c>
      <c r="AQ18" s="151">
        <f ca="1">+$I$18</f>
        <v>106000</v>
      </c>
      <c r="AR18" s="151">
        <v>0</v>
      </c>
      <c r="AT18" s="41"/>
      <c r="AU18" s="151">
        <v>0</v>
      </c>
      <c r="AV18" s="151">
        <v>0</v>
      </c>
      <c r="AW18" s="151">
        <v>0</v>
      </c>
      <c r="AX18" s="151">
        <v>0</v>
      </c>
      <c r="AY18" s="151">
        <v>0</v>
      </c>
      <c r="AZ18" s="151">
        <v>0</v>
      </c>
      <c r="BA18" s="151">
        <v>0</v>
      </c>
      <c r="BB18" s="151">
        <f ca="1">+$J$18</f>
        <v>48000</v>
      </c>
      <c r="BC18" s="151">
        <v>0</v>
      </c>
    </row>
    <row r="19" spans="2:55" x14ac:dyDescent="0.35">
      <c r="B19" s="64" t="s">
        <v>28</v>
      </c>
      <c r="G19" s="24">
        <f t="shared" ca="1" si="28"/>
        <v>150000</v>
      </c>
      <c r="H19" s="30">
        <f ca="1">+Assumptions!N42</f>
        <v>0</v>
      </c>
      <c r="I19" s="30">
        <f ca="1">+Assumptions!O42</f>
        <v>0</v>
      </c>
      <c r="J19" s="30">
        <f ca="1">+Assumptions!P42</f>
        <v>150000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151">
        <f ca="1">+$G$19</f>
        <v>150000</v>
      </c>
      <c r="X19" s="41"/>
      <c r="Y19" s="151">
        <v>0</v>
      </c>
      <c r="Z19" s="151">
        <v>0</v>
      </c>
      <c r="AA19" s="151">
        <v>0</v>
      </c>
      <c r="AB19" s="151">
        <v>0</v>
      </c>
      <c r="AC19" s="151">
        <v>0</v>
      </c>
      <c r="AD19" s="151">
        <v>0</v>
      </c>
      <c r="AE19" s="151">
        <v>0</v>
      </c>
      <c r="AF19" s="151">
        <v>0</v>
      </c>
      <c r="AG19" s="151">
        <f ca="1">+$H$19</f>
        <v>0</v>
      </c>
      <c r="AI19" s="41"/>
      <c r="AJ19" s="151">
        <v>0</v>
      </c>
      <c r="AK19" s="151">
        <v>0</v>
      </c>
      <c r="AL19" s="151">
        <v>0</v>
      </c>
      <c r="AM19" s="151">
        <v>0</v>
      </c>
      <c r="AN19" s="151">
        <v>0</v>
      </c>
      <c r="AO19" s="151">
        <v>0</v>
      </c>
      <c r="AP19" s="151">
        <v>0</v>
      </c>
      <c r="AQ19" s="151">
        <v>0</v>
      </c>
      <c r="AR19" s="151">
        <f ca="1">+$I$19</f>
        <v>0</v>
      </c>
      <c r="AT19" s="41"/>
      <c r="AU19" s="151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1">
        <v>0</v>
      </c>
      <c r="BB19" s="151">
        <v>0</v>
      </c>
      <c r="BC19" s="151">
        <f ca="1">+$J$19</f>
        <v>150000</v>
      </c>
    </row>
    <row r="20" spans="2:55" x14ac:dyDescent="0.35">
      <c r="B20" s="14" t="s">
        <v>89</v>
      </c>
      <c r="G20" s="47">
        <f t="shared" ca="1" si="28"/>
        <v>1</v>
      </c>
      <c r="H20" s="25">
        <f ca="1">+H10/$G$10</f>
        <v>0.38216155052685385</v>
      </c>
      <c r="I20" s="25">
        <f t="shared" ref="I20:J20" ca="1" si="30">+I10/$G$10</f>
        <v>0.22230381612196556</v>
      </c>
      <c r="J20" s="25">
        <f t="shared" ca="1" si="30"/>
        <v>0.39553463335118061</v>
      </c>
      <c r="M20" s="47"/>
      <c r="N20" s="47"/>
      <c r="O20" s="47"/>
      <c r="P20" s="47"/>
      <c r="Q20" s="47"/>
      <c r="R20" s="47"/>
      <c r="S20" s="47"/>
      <c r="T20" s="47"/>
      <c r="U20" s="47"/>
      <c r="X20" s="41"/>
      <c r="Y20" s="47"/>
      <c r="Z20" s="47"/>
      <c r="AA20" s="47"/>
      <c r="AB20" s="47"/>
      <c r="AC20" s="47"/>
      <c r="AD20" s="47"/>
      <c r="AE20" s="47"/>
      <c r="AF20" s="47"/>
      <c r="AG20" s="47"/>
      <c r="AI20" s="41"/>
      <c r="AJ20" s="47"/>
      <c r="AK20" s="47"/>
      <c r="AL20" s="47"/>
      <c r="AM20" s="47"/>
      <c r="AN20" s="47"/>
      <c r="AO20" s="47"/>
      <c r="AP20" s="47"/>
      <c r="AQ20" s="47"/>
      <c r="AR20" s="47"/>
      <c r="AT20" s="41"/>
      <c r="AU20" s="47"/>
      <c r="AV20" s="47"/>
      <c r="AW20" s="47"/>
      <c r="AX20" s="47"/>
      <c r="AY20" s="47"/>
      <c r="AZ20" s="47"/>
      <c r="BA20" s="47"/>
      <c r="BB20" s="47"/>
      <c r="BC20" s="47"/>
    </row>
    <row r="21" spans="2:55" x14ac:dyDescent="0.35">
      <c r="B21" s="14"/>
      <c r="H21" s="405"/>
      <c r="I21" s="405"/>
      <c r="J21" s="405"/>
      <c r="M21" s="47"/>
      <c r="N21" s="47"/>
      <c r="O21" s="47"/>
      <c r="P21" s="47"/>
      <c r="Q21" s="47"/>
      <c r="R21" s="47"/>
      <c r="S21" s="47"/>
      <c r="T21" s="47"/>
      <c r="U21" s="47"/>
      <c r="X21" s="41"/>
      <c r="Y21" s="47"/>
      <c r="Z21" s="47"/>
      <c r="AA21" s="47"/>
      <c r="AB21" s="47"/>
      <c r="AC21" s="47"/>
      <c r="AD21" s="47"/>
      <c r="AE21" s="47"/>
      <c r="AF21" s="47"/>
      <c r="AG21" s="47"/>
      <c r="AI21" s="41"/>
      <c r="AJ21" s="47"/>
      <c r="AK21" s="47"/>
      <c r="AL21" s="47"/>
      <c r="AM21" s="47"/>
      <c r="AN21" s="47"/>
      <c r="AO21" s="47"/>
      <c r="AP21" s="47"/>
      <c r="AQ21" s="47"/>
      <c r="AR21" s="47"/>
      <c r="AT21" s="41"/>
      <c r="AU21" s="47"/>
      <c r="AV21" s="47"/>
      <c r="AW21" s="47"/>
      <c r="AX21" s="47"/>
      <c r="AY21" s="47"/>
      <c r="AZ21" s="47"/>
      <c r="BA21" s="47"/>
      <c r="BB21" s="47"/>
      <c r="BC21" s="47"/>
    </row>
    <row r="22" spans="2:55" ht="32.25" customHeight="1" x14ac:dyDescent="0.35">
      <c r="B22" s="7" t="s">
        <v>64</v>
      </c>
      <c r="C22" s="8"/>
      <c r="D22" s="16"/>
      <c r="E22" s="16"/>
      <c r="F22" s="172" t="s">
        <v>56</v>
      </c>
      <c r="G22" s="7" t="s">
        <v>17</v>
      </c>
      <c r="H22" s="45" t="str">
        <f>+H4</f>
        <v>I</v>
      </c>
      <c r="I22" s="45" t="str">
        <f t="shared" ref="I22:J22" si="31">+I4</f>
        <v>II</v>
      </c>
      <c r="J22" s="45" t="str">
        <f t="shared" si="31"/>
        <v>III</v>
      </c>
      <c r="M22" s="212" t="str">
        <f t="shared" ref="M22:U22" ca="1" si="32">+M4</f>
        <v>Affordable Residential</v>
      </c>
      <c r="N22" s="212" t="str">
        <f t="shared" ca="1" si="32"/>
        <v>Market Rate Residential</v>
      </c>
      <c r="O22" s="212" t="str">
        <f t="shared" ca="1" si="32"/>
        <v>Retail</v>
      </c>
      <c r="P22" s="212" t="str">
        <f t="shared" ca="1" si="32"/>
        <v>Hotel</v>
      </c>
      <c r="Q22" s="212" t="str">
        <f t="shared" ca="1" si="32"/>
        <v>Community Facility</v>
      </c>
      <c r="R22" s="212" t="str">
        <f t="shared" ca="1" si="32"/>
        <v>Office</v>
      </c>
      <c r="S22" s="212" t="str">
        <f t="shared" ca="1" si="32"/>
        <v>Industrial</v>
      </c>
      <c r="T22" s="212" t="str">
        <f t="shared" ca="1" si="32"/>
        <v>Structural Parking</v>
      </c>
      <c r="U22" s="212" t="str">
        <f t="shared" ca="1" si="32"/>
        <v>Surface Parking</v>
      </c>
      <c r="X22" s="41"/>
      <c r="Y22" s="712" t="str">
        <f t="shared" ref="Y22:AG22" ca="1" si="33">+Y4</f>
        <v>Affordable Residential</v>
      </c>
      <c r="Z22" s="712" t="str">
        <f t="shared" ca="1" si="33"/>
        <v>Market Rate Residential</v>
      </c>
      <c r="AA22" s="712" t="str">
        <f t="shared" ca="1" si="33"/>
        <v>Retail</v>
      </c>
      <c r="AB22" s="712" t="str">
        <f t="shared" ca="1" si="33"/>
        <v>Hotel</v>
      </c>
      <c r="AC22" s="712" t="str">
        <f t="shared" ca="1" si="33"/>
        <v>Community Facility</v>
      </c>
      <c r="AD22" s="712" t="str">
        <f t="shared" ca="1" si="33"/>
        <v>Office</v>
      </c>
      <c r="AE22" s="712" t="str">
        <f t="shared" ca="1" si="33"/>
        <v>Industrial</v>
      </c>
      <c r="AF22" s="712" t="str">
        <f t="shared" ca="1" si="33"/>
        <v>Structural Parking</v>
      </c>
      <c r="AG22" s="712" t="str">
        <f t="shared" ca="1" si="33"/>
        <v>Surface Parking</v>
      </c>
      <c r="AI22" s="41"/>
      <c r="AJ22" s="712" t="str">
        <f t="shared" ref="AJ22:AR22" ca="1" si="34">+AJ4</f>
        <v>Affordable Residential</v>
      </c>
      <c r="AK22" s="712" t="str">
        <f t="shared" ca="1" si="34"/>
        <v>Market Rate Residential</v>
      </c>
      <c r="AL22" s="712" t="str">
        <f t="shared" ca="1" si="34"/>
        <v>Retail</v>
      </c>
      <c r="AM22" s="712" t="str">
        <f t="shared" ca="1" si="34"/>
        <v>Hotel</v>
      </c>
      <c r="AN22" s="712" t="str">
        <f t="shared" ca="1" si="34"/>
        <v>Community Facility</v>
      </c>
      <c r="AO22" s="712" t="str">
        <f t="shared" ca="1" si="34"/>
        <v>Office</v>
      </c>
      <c r="AP22" s="712" t="str">
        <f t="shared" ca="1" si="34"/>
        <v>Industrial</v>
      </c>
      <c r="AQ22" s="712" t="str">
        <f t="shared" ca="1" si="34"/>
        <v>Structural Parking</v>
      </c>
      <c r="AR22" s="712" t="str">
        <f t="shared" ca="1" si="34"/>
        <v>Surface Parking</v>
      </c>
      <c r="AT22" s="41"/>
      <c r="AU22" s="712" t="str">
        <f t="shared" ref="AU22:BC22" ca="1" si="35">+AU4</f>
        <v>Affordable Residential</v>
      </c>
      <c r="AV22" s="712" t="str">
        <f t="shared" ca="1" si="35"/>
        <v>Market Rate Residential</v>
      </c>
      <c r="AW22" s="712" t="str">
        <f t="shared" ca="1" si="35"/>
        <v>Retail</v>
      </c>
      <c r="AX22" s="712" t="str">
        <f t="shared" ca="1" si="35"/>
        <v>Hotel</v>
      </c>
      <c r="AY22" s="712" t="str">
        <f t="shared" ca="1" si="35"/>
        <v>Community Facility</v>
      </c>
      <c r="AZ22" s="712" t="str">
        <f t="shared" ca="1" si="35"/>
        <v>Office</v>
      </c>
      <c r="BA22" s="712" t="str">
        <f t="shared" ca="1" si="35"/>
        <v>Industrial</v>
      </c>
      <c r="BB22" s="712" t="str">
        <f t="shared" ca="1" si="35"/>
        <v>Structural Parking</v>
      </c>
      <c r="BC22" s="712" t="str">
        <f t="shared" ca="1" si="35"/>
        <v>Surface Parking</v>
      </c>
    </row>
    <row r="23" spans="2:55" x14ac:dyDescent="0.35">
      <c r="B23" s="9" t="s">
        <v>65</v>
      </c>
      <c r="C23" s="9"/>
      <c r="D23" s="17"/>
      <c r="E23" s="9"/>
      <c r="F23" s="105">
        <f ca="1">+G23/$G$10</f>
        <v>3.7853975032587792</v>
      </c>
      <c r="G23" s="43">
        <f>+SUM(H23:J23)</f>
        <v>16840711.107142858</v>
      </c>
      <c r="H23" s="34">
        <f>'Parcel Breakdown'!BA24</f>
        <v>6900151</v>
      </c>
      <c r="I23" s="34">
        <f>'Parcel Breakdown'!BA25</f>
        <v>818973.10714285716</v>
      </c>
      <c r="J23" s="34">
        <f>'Parcel Breakdown'!BA26</f>
        <v>9121587</v>
      </c>
      <c r="M23" s="39">
        <f ca="1">+$H23*M$5+$I23*M$6+$J23*M$7</f>
        <v>1141250.6824086711</v>
      </c>
      <c r="N23" s="39">
        <f t="shared" ref="N23:U23" ca="1" si="36">+$H23*N$5+$I23*N$6+$J23*N$7</f>
        <v>4565002.7296346845</v>
      </c>
      <c r="O23" s="39">
        <f t="shared" ca="1" si="36"/>
        <v>1525350.6222241221</v>
      </c>
      <c r="P23" s="39">
        <f t="shared" ca="1" si="36"/>
        <v>1066799.1547693256</v>
      </c>
      <c r="Q23" s="39">
        <f t="shared" ca="1" si="36"/>
        <v>726541.14706794533</v>
      </c>
      <c r="R23" s="39">
        <f t="shared" ca="1" si="36"/>
        <v>5148527.5976623055</v>
      </c>
      <c r="S23" s="39">
        <f t="shared" ca="1" si="36"/>
        <v>1216243.3931472728</v>
      </c>
      <c r="T23" s="39">
        <f t="shared" ca="1" si="36"/>
        <v>673445.98279388447</v>
      </c>
      <c r="U23" s="39">
        <f t="shared" ca="1" si="36"/>
        <v>777549.79743464582</v>
      </c>
      <c r="X23" s="41"/>
      <c r="Y23" s="39">
        <f ca="1">+$H23*Y$5+$I23*Y$6+$J23*Y$7</f>
        <v>511341.47188043175</v>
      </c>
      <c r="Z23" s="39">
        <f t="shared" ref="Z23:AG23" ca="1" si="37">+$H23*Z$5+$I23*Z$6+$J23*Z$7</f>
        <v>2045365.887521727</v>
      </c>
      <c r="AA23" s="39">
        <f t="shared" ca="1" si="37"/>
        <v>991789.35963695694</v>
      </c>
      <c r="AB23" s="39">
        <f t="shared" ca="1" si="37"/>
        <v>844504.12467956415</v>
      </c>
      <c r="AC23" s="39">
        <f t="shared" ca="1" si="37"/>
        <v>321126.68268552108</v>
      </c>
      <c r="AD23" s="39">
        <f t="shared" ca="1" si="37"/>
        <v>1849170.2077139886</v>
      </c>
      <c r="AE23" s="39">
        <f t="shared" ca="1" si="37"/>
        <v>0</v>
      </c>
      <c r="AF23" s="39">
        <f t="shared" ca="1" si="37"/>
        <v>336853.2658818104</v>
      </c>
      <c r="AG23" s="39">
        <f t="shared" ca="1" si="37"/>
        <v>0</v>
      </c>
      <c r="AI23" s="41"/>
      <c r="AJ23" s="39">
        <f ca="1">+$H23*AJ$5+$I23*AJ$6+$J23*AJ$7</f>
        <v>74632.622709895848</v>
      </c>
      <c r="AK23" s="39">
        <f t="shared" ref="AK23:AR23" ca="1" si="38">+$H23*AK$5+$I23*AK$6+$J23*AK$7</f>
        <v>298530.49083958339</v>
      </c>
      <c r="AL23" s="39">
        <f t="shared" ca="1" si="38"/>
        <v>127524.75836679309</v>
      </c>
      <c r="AM23" s="39">
        <f t="shared" ca="1" si="38"/>
        <v>106353.99231221237</v>
      </c>
      <c r="AN23" s="39">
        <f t="shared" ca="1" si="38"/>
        <v>0</v>
      </c>
      <c r="AO23" s="39">
        <f t="shared" ca="1" si="38"/>
        <v>124154.46118138499</v>
      </c>
      <c r="AP23" s="39">
        <f t="shared" ca="1" si="38"/>
        <v>0</v>
      </c>
      <c r="AQ23" s="39">
        <f t="shared" ca="1" si="38"/>
        <v>87776.781732987452</v>
      </c>
      <c r="AR23" s="39">
        <f t="shared" ca="1" si="38"/>
        <v>0</v>
      </c>
      <c r="AT23" s="41"/>
      <c r="AU23" s="39">
        <f ca="1">+$H23*AU$5+$I23*AU$6+$J23*AU$7</f>
        <v>555276.58781834354</v>
      </c>
      <c r="AV23" s="39">
        <f t="shared" ref="AV23:BC23" ca="1" si="39">+$H23*AV$5+$I23*AV$6+$J23*AV$7</f>
        <v>2221106.3512733742</v>
      </c>
      <c r="AW23" s="39">
        <f t="shared" ca="1" si="39"/>
        <v>406036.50422037201</v>
      </c>
      <c r="AX23" s="39">
        <f t="shared" ca="1" si="39"/>
        <v>115941.03777754919</v>
      </c>
      <c r="AY23" s="39">
        <f t="shared" ca="1" si="39"/>
        <v>405414.46438242425</v>
      </c>
      <c r="AZ23" s="39">
        <f t="shared" ca="1" si="39"/>
        <v>3175202.9287669314</v>
      </c>
      <c r="BA23" s="39">
        <f t="shared" ca="1" si="39"/>
        <v>1216243.3931472728</v>
      </c>
      <c r="BB23" s="39">
        <f t="shared" ca="1" si="39"/>
        <v>248815.93517908663</v>
      </c>
      <c r="BC23" s="39">
        <f t="shared" ca="1" si="39"/>
        <v>777549.79743464582</v>
      </c>
    </row>
    <row r="24" spans="2:55" x14ac:dyDescent="0.35">
      <c r="B24" s="12" t="s">
        <v>66</v>
      </c>
      <c r="C24" s="12"/>
      <c r="D24" s="12"/>
      <c r="E24" s="12"/>
      <c r="F24" s="106">
        <f t="shared" ref="F24" ca="1" si="40">+G24/$G$10</f>
        <v>3.7853975032587792</v>
      </c>
      <c r="G24" s="13">
        <f>+SUM(G23:G23)</f>
        <v>16840711.107142858</v>
      </c>
      <c r="H24" s="129">
        <f>+SUM(H23:H23)</f>
        <v>6900151</v>
      </c>
      <c r="I24" s="129">
        <f>+SUM(I23:I23)</f>
        <v>818973.10714285716</v>
      </c>
      <c r="J24" s="129">
        <f>+SUM(J23:J23)</f>
        <v>9121587</v>
      </c>
      <c r="M24" s="129">
        <f t="shared" ref="M24:U24" ca="1" si="41">+SUM(M23:M23)</f>
        <v>1141250.6824086711</v>
      </c>
      <c r="N24" s="129">
        <f t="shared" ca="1" si="41"/>
        <v>4565002.7296346845</v>
      </c>
      <c r="O24" s="129">
        <f t="shared" ca="1" si="41"/>
        <v>1525350.6222241221</v>
      </c>
      <c r="P24" s="129">
        <f t="shared" ca="1" si="41"/>
        <v>1066799.1547693256</v>
      </c>
      <c r="Q24" s="129">
        <f t="shared" ca="1" si="41"/>
        <v>726541.14706794533</v>
      </c>
      <c r="R24" s="129">
        <f t="shared" ca="1" si="41"/>
        <v>5148527.5976623055</v>
      </c>
      <c r="S24" s="129">
        <f t="shared" ca="1" si="41"/>
        <v>1216243.3931472728</v>
      </c>
      <c r="T24" s="129">
        <f t="shared" ca="1" si="41"/>
        <v>673445.98279388447</v>
      </c>
      <c r="U24" s="129">
        <f t="shared" ca="1" si="41"/>
        <v>777549.79743464582</v>
      </c>
      <c r="X24" s="41"/>
      <c r="Y24" s="129">
        <f t="shared" ref="Y24:AG24" ca="1" si="42">+SUM(Y23:Y23)</f>
        <v>511341.47188043175</v>
      </c>
      <c r="Z24" s="129">
        <f t="shared" ca="1" si="42"/>
        <v>2045365.887521727</v>
      </c>
      <c r="AA24" s="129">
        <f t="shared" ca="1" si="42"/>
        <v>991789.35963695694</v>
      </c>
      <c r="AB24" s="129">
        <f t="shared" ca="1" si="42"/>
        <v>844504.12467956415</v>
      </c>
      <c r="AC24" s="129">
        <f t="shared" ca="1" si="42"/>
        <v>321126.68268552108</v>
      </c>
      <c r="AD24" s="129">
        <f t="shared" ca="1" si="42"/>
        <v>1849170.2077139886</v>
      </c>
      <c r="AE24" s="129">
        <f t="shared" ca="1" si="42"/>
        <v>0</v>
      </c>
      <c r="AF24" s="129">
        <f t="shared" ca="1" si="42"/>
        <v>336853.2658818104</v>
      </c>
      <c r="AG24" s="129">
        <f t="shared" ca="1" si="42"/>
        <v>0</v>
      </c>
      <c r="AI24" s="41"/>
      <c r="AJ24" s="129">
        <f t="shared" ref="AJ24:AR24" ca="1" si="43">+SUM(AJ23:AJ23)</f>
        <v>74632.622709895848</v>
      </c>
      <c r="AK24" s="129">
        <f t="shared" ca="1" si="43"/>
        <v>298530.49083958339</v>
      </c>
      <c r="AL24" s="129">
        <f t="shared" ca="1" si="43"/>
        <v>127524.75836679309</v>
      </c>
      <c r="AM24" s="129">
        <f t="shared" ca="1" si="43"/>
        <v>106353.99231221237</v>
      </c>
      <c r="AN24" s="129">
        <f t="shared" ca="1" si="43"/>
        <v>0</v>
      </c>
      <c r="AO24" s="129">
        <f t="shared" ca="1" si="43"/>
        <v>124154.46118138499</v>
      </c>
      <c r="AP24" s="129">
        <f t="shared" ca="1" si="43"/>
        <v>0</v>
      </c>
      <c r="AQ24" s="129">
        <f t="shared" ca="1" si="43"/>
        <v>87776.781732987452</v>
      </c>
      <c r="AR24" s="129">
        <f t="shared" ca="1" si="43"/>
        <v>0</v>
      </c>
      <c r="AT24" s="41"/>
      <c r="AU24" s="129">
        <f t="shared" ref="AU24:BC24" ca="1" si="44">+SUM(AU23:AU23)</f>
        <v>555276.58781834354</v>
      </c>
      <c r="AV24" s="129">
        <f t="shared" ca="1" si="44"/>
        <v>2221106.3512733742</v>
      </c>
      <c r="AW24" s="129">
        <f t="shared" ca="1" si="44"/>
        <v>406036.50422037201</v>
      </c>
      <c r="AX24" s="129">
        <f t="shared" ca="1" si="44"/>
        <v>115941.03777754919</v>
      </c>
      <c r="AY24" s="129">
        <f t="shared" ca="1" si="44"/>
        <v>405414.46438242425</v>
      </c>
      <c r="AZ24" s="129">
        <f t="shared" ca="1" si="44"/>
        <v>3175202.9287669314</v>
      </c>
      <c r="BA24" s="129">
        <f t="shared" ca="1" si="44"/>
        <v>1216243.3931472728</v>
      </c>
      <c r="BB24" s="129">
        <f t="shared" ca="1" si="44"/>
        <v>248815.93517908663</v>
      </c>
      <c r="BC24" s="129">
        <f t="shared" ca="1" si="44"/>
        <v>777549.79743464582</v>
      </c>
    </row>
    <row r="25" spans="2:55" x14ac:dyDescent="0.35">
      <c r="B25" s="9"/>
      <c r="C25" s="9"/>
      <c r="D25" s="9"/>
      <c r="E25" s="9"/>
      <c r="F25" s="9"/>
      <c r="G25" s="9"/>
      <c r="H25" s="9"/>
      <c r="I25" s="9"/>
      <c r="J25" s="9"/>
      <c r="M25" s="213"/>
      <c r="N25" s="213"/>
      <c r="O25" s="213"/>
      <c r="P25" s="213"/>
      <c r="Q25" s="213"/>
      <c r="R25" s="213"/>
      <c r="S25" s="213"/>
      <c r="T25" s="213"/>
      <c r="U25" s="213"/>
      <c r="X25" s="41"/>
      <c r="Y25" s="213"/>
      <c r="Z25" s="213"/>
      <c r="AA25" s="213"/>
      <c r="AB25" s="213"/>
      <c r="AC25" s="213"/>
      <c r="AD25" s="213"/>
      <c r="AE25" s="213"/>
      <c r="AF25" s="213"/>
      <c r="AG25" s="213"/>
      <c r="AI25" s="41"/>
      <c r="AJ25" s="213"/>
      <c r="AK25" s="213"/>
      <c r="AL25" s="213"/>
      <c r="AM25" s="213"/>
      <c r="AN25" s="213"/>
      <c r="AO25" s="213"/>
      <c r="AP25" s="213"/>
      <c r="AQ25" s="213"/>
      <c r="AR25" s="213"/>
      <c r="AT25" s="41"/>
      <c r="AU25" s="213"/>
      <c r="AV25" s="213"/>
      <c r="AW25" s="213"/>
      <c r="AX25" s="213"/>
      <c r="AY25" s="213"/>
      <c r="AZ25" s="213"/>
      <c r="BA25" s="213"/>
      <c r="BB25" s="213"/>
      <c r="BC25" s="213"/>
    </row>
    <row r="26" spans="2:55" ht="32.25" customHeight="1" x14ac:dyDescent="0.35">
      <c r="B26" s="15" t="s">
        <v>8</v>
      </c>
      <c r="C26" s="16"/>
      <c r="D26" s="16"/>
      <c r="E26" s="16"/>
      <c r="F26" s="16"/>
      <c r="G26" s="15" t="s">
        <v>17</v>
      </c>
      <c r="H26" s="23" t="str">
        <f>+H$22</f>
        <v>I</v>
      </c>
      <c r="I26" s="23" t="str">
        <f t="shared" ref="I26:J26" si="45">+I$22</f>
        <v>II</v>
      </c>
      <c r="J26" s="46" t="str">
        <f t="shared" si="45"/>
        <v>III</v>
      </c>
      <c r="M26" s="214" t="str">
        <f t="shared" ref="M26:U26" ca="1" si="46">+M$22</f>
        <v>Affordable Residential</v>
      </c>
      <c r="N26" s="214" t="str">
        <f t="shared" ca="1" si="46"/>
        <v>Market Rate Residential</v>
      </c>
      <c r="O26" s="214" t="str">
        <f t="shared" ca="1" si="46"/>
        <v>Retail</v>
      </c>
      <c r="P26" s="214" t="str">
        <f t="shared" ca="1" si="46"/>
        <v>Hotel</v>
      </c>
      <c r="Q26" s="214" t="str">
        <f t="shared" ca="1" si="46"/>
        <v>Community Facility</v>
      </c>
      <c r="R26" s="214" t="str">
        <f t="shared" ca="1" si="46"/>
        <v>Office</v>
      </c>
      <c r="S26" s="214" t="str">
        <f t="shared" ca="1" si="46"/>
        <v>Industrial</v>
      </c>
      <c r="T26" s="214" t="str">
        <f t="shared" ca="1" si="46"/>
        <v>Structural Parking</v>
      </c>
      <c r="U26" s="214" t="str">
        <f t="shared" ca="1" si="46"/>
        <v>Surface Parking</v>
      </c>
      <c r="X26" s="41"/>
      <c r="Y26" s="214" t="str">
        <f t="shared" ref="Y26:AG26" ca="1" si="47">+Y$22</f>
        <v>Affordable Residential</v>
      </c>
      <c r="Z26" s="214" t="str">
        <f t="shared" ca="1" si="47"/>
        <v>Market Rate Residential</v>
      </c>
      <c r="AA26" s="214" t="str">
        <f t="shared" ca="1" si="47"/>
        <v>Retail</v>
      </c>
      <c r="AB26" s="214" t="str">
        <f t="shared" ca="1" si="47"/>
        <v>Hotel</v>
      </c>
      <c r="AC26" s="214" t="str">
        <f t="shared" ca="1" si="47"/>
        <v>Community Facility</v>
      </c>
      <c r="AD26" s="214" t="str">
        <f t="shared" ca="1" si="47"/>
        <v>Office</v>
      </c>
      <c r="AE26" s="214" t="str">
        <f t="shared" ca="1" si="47"/>
        <v>Industrial</v>
      </c>
      <c r="AF26" s="214" t="str">
        <f t="shared" ca="1" si="47"/>
        <v>Structural Parking</v>
      </c>
      <c r="AG26" s="214" t="str">
        <f t="shared" ca="1" si="47"/>
        <v>Surface Parking</v>
      </c>
      <c r="AI26" s="41"/>
      <c r="AJ26" s="214" t="str">
        <f t="shared" ref="AJ26:AR26" ca="1" si="48">+AJ$22</f>
        <v>Affordable Residential</v>
      </c>
      <c r="AK26" s="214" t="str">
        <f t="shared" ca="1" si="48"/>
        <v>Market Rate Residential</v>
      </c>
      <c r="AL26" s="214" t="str">
        <f t="shared" ca="1" si="48"/>
        <v>Retail</v>
      </c>
      <c r="AM26" s="214" t="str">
        <f t="shared" ca="1" si="48"/>
        <v>Hotel</v>
      </c>
      <c r="AN26" s="214" t="str">
        <f t="shared" ca="1" si="48"/>
        <v>Community Facility</v>
      </c>
      <c r="AO26" s="214" t="str">
        <f t="shared" ca="1" si="48"/>
        <v>Office</v>
      </c>
      <c r="AP26" s="214" t="str">
        <f t="shared" ca="1" si="48"/>
        <v>Industrial</v>
      </c>
      <c r="AQ26" s="214" t="str">
        <f t="shared" ca="1" si="48"/>
        <v>Structural Parking</v>
      </c>
      <c r="AR26" s="214" t="str">
        <f t="shared" ca="1" si="48"/>
        <v>Surface Parking</v>
      </c>
      <c r="AT26" s="41"/>
      <c r="AU26" s="214" t="str">
        <f t="shared" ref="AU26:BC26" ca="1" si="49">+AU$22</f>
        <v>Affordable Residential</v>
      </c>
      <c r="AV26" s="214" t="str">
        <f t="shared" ca="1" si="49"/>
        <v>Market Rate Residential</v>
      </c>
      <c r="AW26" s="214" t="str">
        <f t="shared" ca="1" si="49"/>
        <v>Retail</v>
      </c>
      <c r="AX26" s="214" t="str">
        <f t="shared" ca="1" si="49"/>
        <v>Hotel</v>
      </c>
      <c r="AY26" s="214" t="str">
        <f t="shared" ca="1" si="49"/>
        <v>Community Facility</v>
      </c>
      <c r="AZ26" s="214" t="str">
        <f t="shared" ca="1" si="49"/>
        <v>Office</v>
      </c>
      <c r="BA26" s="214" t="str">
        <f t="shared" ca="1" si="49"/>
        <v>Industrial</v>
      </c>
      <c r="BB26" s="214" t="str">
        <f t="shared" ca="1" si="49"/>
        <v>Structural Parking</v>
      </c>
      <c r="BC26" s="214" t="str">
        <f t="shared" ca="1" si="49"/>
        <v>Surface Parking</v>
      </c>
    </row>
    <row r="27" spans="2:55" x14ac:dyDescent="0.35">
      <c r="B27" s="9" t="s">
        <v>564</v>
      </c>
      <c r="C27" s="9"/>
      <c r="D27" s="40"/>
      <c r="E27" s="20"/>
      <c r="F27" s="105">
        <f t="shared" ref="F27:F31" ca="1" si="50">+G27/$G$10</f>
        <v>1.1041667991242963</v>
      </c>
      <c r="G27" s="43">
        <f>+SUM(H27:J27)</f>
        <v>4912285.7142857146</v>
      </c>
      <c r="H27" s="34">
        <f>Infra!G10+Infra!G15</f>
        <v>0</v>
      </c>
      <c r="I27" s="34">
        <f>Infra!H10+Infra!H15</f>
        <v>322000</v>
      </c>
      <c r="J27" s="34">
        <f>Infra!I10+Infra!I15</f>
        <v>4590285.7142857146</v>
      </c>
      <c r="M27" s="39">
        <f t="shared" ref="M27:U30" ca="1" si="51">+$H27*M$5+$I27*M$6+$J27*M$7</f>
        <v>308777.33647522144</v>
      </c>
      <c r="N27" s="39">
        <f t="shared" ca="1" si="51"/>
        <v>1235109.3459008858</v>
      </c>
      <c r="O27" s="39">
        <f t="shared" ca="1" si="51"/>
        <v>254470.6482350172</v>
      </c>
      <c r="P27" s="39">
        <f t="shared" ca="1" si="51"/>
        <v>100161.14646618586</v>
      </c>
      <c r="Q27" s="39">
        <f t="shared" ca="1" si="51"/>
        <v>204018.03153545942</v>
      </c>
      <c r="R27" s="39">
        <f t="shared" ca="1" si="51"/>
        <v>1646682.1026046854</v>
      </c>
      <c r="S27" s="39">
        <f t="shared" ca="1" si="51"/>
        <v>612054.09460637835</v>
      </c>
      <c r="T27" s="39">
        <f t="shared" ca="1" si="51"/>
        <v>159724.11023506982</v>
      </c>
      <c r="U27" s="39">
        <f t="shared" ca="1" si="51"/>
        <v>391288.89822681138</v>
      </c>
      <c r="X27" s="41"/>
      <c r="Y27" s="39">
        <f t="shared" ref="Y27:AG30" ca="1" si="52">+$H27*Y$5+$I27*Y$6+$J27*Y$7</f>
        <v>0</v>
      </c>
      <c r="Z27" s="39">
        <f t="shared" ca="1" si="52"/>
        <v>0</v>
      </c>
      <c r="AA27" s="39">
        <f t="shared" ca="1" si="52"/>
        <v>0</v>
      </c>
      <c r="AB27" s="39">
        <f t="shared" ca="1" si="52"/>
        <v>0</v>
      </c>
      <c r="AC27" s="39">
        <f t="shared" ca="1" si="52"/>
        <v>0</v>
      </c>
      <c r="AD27" s="39">
        <f t="shared" ca="1" si="52"/>
        <v>0</v>
      </c>
      <c r="AE27" s="39">
        <f t="shared" ca="1" si="52"/>
        <v>0</v>
      </c>
      <c r="AF27" s="39">
        <f t="shared" ca="1" si="52"/>
        <v>0</v>
      </c>
      <c r="AG27" s="39">
        <f t="shared" ca="1" si="52"/>
        <v>0</v>
      </c>
      <c r="AI27" s="41"/>
      <c r="AJ27" s="39">
        <f t="shared" ref="AJ27:AR30" ca="1" si="53">+$H27*AJ$5+$I27*AJ$6+$J27*AJ$7</f>
        <v>29343.704088679566</v>
      </c>
      <c r="AK27" s="39">
        <f t="shared" ca="1" si="53"/>
        <v>117374.81635471826</v>
      </c>
      <c r="AL27" s="39">
        <f t="shared" ca="1" si="53"/>
        <v>50139.585580976316</v>
      </c>
      <c r="AM27" s="39">
        <f t="shared" ca="1" si="53"/>
        <v>41815.763211085148</v>
      </c>
      <c r="AN27" s="39">
        <f t="shared" ca="1" si="53"/>
        <v>0</v>
      </c>
      <c r="AO27" s="39">
        <f t="shared" ca="1" si="53"/>
        <v>48814.467962050519</v>
      </c>
      <c r="AP27" s="39">
        <f t="shared" ca="1" si="53"/>
        <v>0</v>
      </c>
      <c r="AQ27" s="39">
        <f t="shared" ca="1" si="53"/>
        <v>34511.662802490195</v>
      </c>
      <c r="AR27" s="39">
        <f t="shared" ca="1" si="53"/>
        <v>0</v>
      </c>
      <c r="AT27" s="41"/>
      <c r="AU27" s="39">
        <f t="shared" ref="AU27:BC30" ca="1" si="54">+$H27*AU$5+$I27*AU$6+$J27*AU$7</f>
        <v>279433.63238654187</v>
      </c>
      <c r="AV27" s="39">
        <f t="shared" ca="1" si="54"/>
        <v>1117734.5295461675</v>
      </c>
      <c r="AW27" s="39">
        <f t="shared" ca="1" si="54"/>
        <v>204331.06265404087</v>
      </c>
      <c r="AX27" s="39">
        <f t="shared" ca="1" si="54"/>
        <v>58345.383255100722</v>
      </c>
      <c r="AY27" s="39">
        <f t="shared" ca="1" si="54"/>
        <v>204018.03153545942</v>
      </c>
      <c r="AZ27" s="39">
        <f t="shared" ca="1" si="54"/>
        <v>1597867.6346426348</v>
      </c>
      <c r="BA27" s="39">
        <f t="shared" ca="1" si="54"/>
        <v>612054.09460637835</v>
      </c>
      <c r="BB27" s="39">
        <f t="shared" ca="1" si="54"/>
        <v>125212.44743257963</v>
      </c>
      <c r="BC27" s="39">
        <f t="shared" ca="1" si="54"/>
        <v>391288.89822681138</v>
      </c>
    </row>
    <row r="28" spans="2:55" x14ac:dyDescent="0.35">
      <c r="B28" s="9" t="s">
        <v>38</v>
      </c>
      <c r="C28" s="9"/>
      <c r="D28" s="17"/>
      <c r="F28" s="105">
        <f t="shared" ca="1" si="50"/>
        <v>1.5965543547990475</v>
      </c>
      <c r="G28" s="29">
        <f>+SUM(H28:J28)</f>
        <v>7102850</v>
      </c>
      <c r="H28" s="39">
        <f>SUM(Infra!G16,Infra!G18:G21)</f>
        <v>2632890</v>
      </c>
      <c r="I28" s="39">
        <f>SUM(Infra!H16,Infra!H18:H21)</f>
        <v>1791600</v>
      </c>
      <c r="J28" s="39">
        <f>SUM(Infra!I16,Infra!I18:I21)</f>
        <v>2678360</v>
      </c>
      <c r="M28" s="39">
        <f t="shared" ca="1" si="51"/>
        <v>521425.31910078158</v>
      </c>
      <c r="N28" s="39">
        <f t="shared" ca="1" si="51"/>
        <v>2085701.2764031263</v>
      </c>
      <c r="O28" s="39">
        <f t="shared" ca="1" si="51"/>
        <v>776636.36851424724</v>
      </c>
      <c r="P28" s="39">
        <f t="shared" ca="1" si="51"/>
        <v>588942.85053301707</v>
      </c>
      <c r="Q28" s="39">
        <f t="shared" ca="1" si="51"/>
        <v>241573.61361047748</v>
      </c>
      <c r="R28" s="39">
        <f t="shared" ca="1" si="51"/>
        <v>1909520.9989881869</v>
      </c>
      <c r="S28" s="39">
        <f t="shared" ca="1" si="51"/>
        <v>357124.00204810081</v>
      </c>
      <c r="T28" s="39">
        <f t="shared" ca="1" si="51"/>
        <v>393614.61181465682</v>
      </c>
      <c r="U28" s="39">
        <f t="shared" ca="1" si="51"/>
        <v>228310.95898740622</v>
      </c>
      <c r="V28" s="116"/>
      <c r="W28" s="116"/>
      <c r="X28" s="41"/>
      <c r="Y28" s="39">
        <f t="shared" ca="1" si="52"/>
        <v>195112.51969692693</v>
      </c>
      <c r="Z28" s="39">
        <f t="shared" ca="1" si="52"/>
        <v>780450.07878770772</v>
      </c>
      <c r="AA28" s="39">
        <f t="shared" ca="1" si="52"/>
        <v>378436.97726246103</v>
      </c>
      <c r="AB28" s="39">
        <f t="shared" ca="1" si="52"/>
        <v>322237.36333126301</v>
      </c>
      <c r="AC28" s="39">
        <f t="shared" ca="1" si="52"/>
        <v>122532.2795944439</v>
      </c>
      <c r="AD28" s="39">
        <f t="shared" ca="1" si="52"/>
        <v>705587.71078894986</v>
      </c>
      <c r="AE28" s="39">
        <f t="shared" ca="1" si="52"/>
        <v>0</v>
      </c>
      <c r="AF28" s="39">
        <f t="shared" ca="1" si="52"/>
        <v>128533.07053824762</v>
      </c>
      <c r="AG28" s="39">
        <f t="shared" ca="1" si="52"/>
        <v>0</v>
      </c>
      <c r="AI28" s="41"/>
      <c r="AJ28" s="39">
        <f t="shared" ca="1" si="53"/>
        <v>163267.64051328666</v>
      </c>
      <c r="AK28" s="39">
        <f t="shared" ca="1" si="53"/>
        <v>653070.56205314666</v>
      </c>
      <c r="AL28" s="39">
        <f t="shared" ca="1" si="53"/>
        <v>278975.40846856264</v>
      </c>
      <c r="AM28" s="39">
        <f t="shared" ca="1" si="53"/>
        <v>232661.86760552844</v>
      </c>
      <c r="AN28" s="39">
        <f t="shared" ca="1" si="53"/>
        <v>0</v>
      </c>
      <c r="AO28" s="39">
        <f t="shared" ca="1" si="53"/>
        <v>271602.48695903638</v>
      </c>
      <c r="AP28" s="39">
        <f t="shared" ca="1" si="53"/>
        <v>0</v>
      </c>
      <c r="AQ28" s="39">
        <f t="shared" ca="1" si="53"/>
        <v>192022.03440043921</v>
      </c>
      <c r="AR28" s="39">
        <f t="shared" ca="1" si="53"/>
        <v>0</v>
      </c>
      <c r="AT28" s="41"/>
      <c r="AU28" s="39">
        <f t="shared" ca="1" si="54"/>
        <v>163045.15889056792</v>
      </c>
      <c r="AV28" s="39">
        <f t="shared" ca="1" si="54"/>
        <v>652180.63556227169</v>
      </c>
      <c r="AW28" s="39">
        <f t="shared" ca="1" si="54"/>
        <v>119223.98278322352</v>
      </c>
      <c r="AX28" s="39">
        <f t="shared" ca="1" si="54"/>
        <v>34043.619596225595</v>
      </c>
      <c r="AY28" s="39">
        <f t="shared" ca="1" si="54"/>
        <v>119041.33401603359</v>
      </c>
      <c r="AZ28" s="39">
        <f t="shared" ca="1" si="54"/>
        <v>932330.80124020076</v>
      </c>
      <c r="BA28" s="39">
        <f t="shared" ca="1" si="54"/>
        <v>357124.00204810081</v>
      </c>
      <c r="BB28" s="39">
        <f t="shared" ca="1" si="54"/>
        <v>73059.506875969993</v>
      </c>
      <c r="BC28" s="39">
        <f t="shared" ca="1" si="54"/>
        <v>228310.95898740622</v>
      </c>
    </row>
    <row r="29" spans="2:55" x14ac:dyDescent="0.35">
      <c r="B29" s="9" t="s">
        <v>62</v>
      </c>
      <c r="C29" s="9"/>
      <c r="D29" s="17"/>
      <c r="E29" s="9"/>
      <c r="F29" s="105">
        <f t="shared" ca="1" si="50"/>
        <v>8.5538023278570794</v>
      </c>
      <c r="G29" s="29">
        <f>+SUM(H29:J29)</f>
        <v>38054686.131914899</v>
      </c>
      <c r="H29" s="39">
        <f>Infra!G22</f>
        <v>19728157.897872344</v>
      </c>
      <c r="I29" s="39">
        <f>Infra!H22</f>
        <v>0</v>
      </c>
      <c r="J29" s="39">
        <f>Infra!I22</f>
        <v>18326528.234042555</v>
      </c>
      <c r="M29" s="39">
        <f t="shared" ca="1" si="51"/>
        <v>2577599.0368011519</v>
      </c>
      <c r="N29" s="39">
        <f t="shared" ca="1" si="51"/>
        <v>10310396.147204608</v>
      </c>
      <c r="O29" s="39">
        <f t="shared" ca="1" si="51"/>
        <v>3651399.2062988626</v>
      </c>
      <c r="P29" s="39">
        <f t="shared" ca="1" si="51"/>
        <v>2647455.4908845066</v>
      </c>
      <c r="Q29" s="39">
        <f t="shared" ca="1" si="51"/>
        <v>1732663.9862844783</v>
      </c>
      <c r="R29" s="39">
        <f t="shared" ca="1" si="51"/>
        <v>11666366.705976054</v>
      </c>
      <c r="S29" s="39">
        <f t="shared" ca="1" si="51"/>
        <v>2443600.9746967512</v>
      </c>
      <c r="T29" s="39">
        <f t="shared" ca="1" si="51"/>
        <v>1462999.6389425336</v>
      </c>
      <c r="U29" s="39">
        <f t="shared" ca="1" si="51"/>
        <v>1562204.9448259503</v>
      </c>
      <c r="X29" s="41"/>
      <c r="Y29" s="39">
        <f t="shared" ca="1" si="52"/>
        <v>1461971.6723572584</v>
      </c>
      <c r="Z29" s="39">
        <f t="shared" ca="1" si="52"/>
        <v>5847886.6894290335</v>
      </c>
      <c r="AA29" s="39">
        <f t="shared" ca="1" si="52"/>
        <v>2835615.7841107515</v>
      </c>
      <c r="AB29" s="39">
        <f t="shared" ca="1" si="52"/>
        <v>2414513.931228884</v>
      </c>
      <c r="AC29" s="39">
        <f t="shared" ca="1" si="52"/>
        <v>918130.32805222797</v>
      </c>
      <c r="AD29" s="39">
        <f t="shared" ca="1" si="52"/>
        <v>5286945.4360959586</v>
      </c>
      <c r="AE29" s="39">
        <f t="shared" ca="1" si="52"/>
        <v>0</v>
      </c>
      <c r="AF29" s="39">
        <f t="shared" ca="1" si="52"/>
        <v>963094.05659822957</v>
      </c>
      <c r="AG29" s="39">
        <f t="shared" ca="1" si="52"/>
        <v>0</v>
      </c>
      <c r="AI29" s="41"/>
      <c r="AJ29" s="39">
        <f t="shared" ca="1" si="53"/>
        <v>0</v>
      </c>
      <c r="AK29" s="39">
        <f t="shared" ca="1" si="53"/>
        <v>0</v>
      </c>
      <c r="AL29" s="39">
        <f t="shared" ca="1" si="53"/>
        <v>0</v>
      </c>
      <c r="AM29" s="39">
        <f t="shared" ca="1" si="53"/>
        <v>0</v>
      </c>
      <c r="AN29" s="39">
        <f t="shared" ca="1" si="53"/>
        <v>0</v>
      </c>
      <c r="AO29" s="39">
        <f t="shared" ca="1" si="53"/>
        <v>0</v>
      </c>
      <c r="AP29" s="39">
        <f t="shared" ca="1" si="53"/>
        <v>0</v>
      </c>
      <c r="AQ29" s="39">
        <f t="shared" ca="1" si="53"/>
        <v>0</v>
      </c>
      <c r="AR29" s="39">
        <f t="shared" ca="1" si="53"/>
        <v>0</v>
      </c>
      <c r="AT29" s="41"/>
      <c r="AU29" s="39">
        <f t="shared" ca="1" si="54"/>
        <v>1115627.3644438938</v>
      </c>
      <c r="AV29" s="39">
        <f t="shared" ca="1" si="54"/>
        <v>4462509.4577755751</v>
      </c>
      <c r="AW29" s="39">
        <f t="shared" ca="1" si="54"/>
        <v>815783.42218811112</v>
      </c>
      <c r="AX29" s="39">
        <f t="shared" ca="1" si="54"/>
        <v>232941.5596556224</v>
      </c>
      <c r="AY29" s="39">
        <f t="shared" ca="1" si="54"/>
        <v>814533.65823225037</v>
      </c>
      <c r="AZ29" s="39">
        <f t="shared" ca="1" si="54"/>
        <v>6379421.2698800964</v>
      </c>
      <c r="BA29" s="39">
        <f t="shared" ca="1" si="54"/>
        <v>2443600.9746967512</v>
      </c>
      <c r="BB29" s="39">
        <f t="shared" ca="1" si="54"/>
        <v>499905.58234430407</v>
      </c>
      <c r="BC29" s="39">
        <f t="shared" ca="1" si="54"/>
        <v>1562204.9448259503</v>
      </c>
    </row>
    <row r="30" spans="2:55" x14ac:dyDescent="0.35">
      <c r="B30" s="9" t="s">
        <v>382</v>
      </c>
      <c r="C30" s="9"/>
      <c r="D30" s="40"/>
      <c r="E30" s="20"/>
      <c r="F30" s="105">
        <f t="shared" ca="1" si="50"/>
        <v>4.7742546296108985</v>
      </c>
      <c r="G30" s="541">
        <f>+SUM(H30:J30)</f>
        <v>21240000</v>
      </c>
      <c r="H30" s="39">
        <f>SUM(Infra!G6:G7)</f>
        <v>8992500</v>
      </c>
      <c r="I30" s="39">
        <f>SUM(Infra!H6:H7)</f>
        <v>8347500</v>
      </c>
      <c r="J30" s="39">
        <f>SUM(Infra!I6:I7)</f>
        <v>3900000</v>
      </c>
      <c r="M30" s="39">
        <f t="shared" ca="1" si="51"/>
        <v>1664512.8720950398</v>
      </c>
      <c r="N30" s="39">
        <f t="shared" ca="1" si="51"/>
        <v>6658051.4883801593</v>
      </c>
      <c r="O30" s="39">
        <f t="shared" ca="1" si="51"/>
        <v>2765950.0561192618</v>
      </c>
      <c r="P30" s="39">
        <f t="shared" ca="1" si="51"/>
        <v>2234184.7269138955</v>
      </c>
      <c r="Q30" s="39">
        <f t="shared" ca="1" si="51"/>
        <v>591840.54564316978</v>
      </c>
      <c r="R30" s="39">
        <f t="shared" ca="1" si="51"/>
        <v>5032941.2622181736</v>
      </c>
      <c r="S30" s="39">
        <f t="shared" ca="1" si="51"/>
        <v>520013.59338833956</v>
      </c>
      <c r="T30" s="39">
        <f t="shared" ca="1" si="51"/>
        <v>1440058.4578066336</v>
      </c>
      <c r="U30" s="39">
        <f t="shared" ca="1" si="51"/>
        <v>332446.99743532768</v>
      </c>
      <c r="X30" s="41"/>
      <c r="Y30" s="39">
        <f t="shared" ca="1" si="52"/>
        <v>666396.74782258866</v>
      </c>
      <c r="Z30" s="39">
        <f t="shared" ca="1" si="52"/>
        <v>2665586.9912903546</v>
      </c>
      <c r="AA30" s="39">
        <f t="shared" ca="1" si="52"/>
        <v>1292531.9774212674</v>
      </c>
      <c r="AB30" s="39">
        <f t="shared" ca="1" si="52"/>
        <v>1100585.094613289</v>
      </c>
      <c r="AC30" s="39">
        <f t="shared" ca="1" si="52"/>
        <v>418502.68118038989</v>
      </c>
      <c r="AD30" s="39">
        <f t="shared" ca="1" si="52"/>
        <v>2409898.4345223811</v>
      </c>
      <c r="AE30" s="39">
        <f t="shared" ca="1" si="52"/>
        <v>0</v>
      </c>
      <c r="AF30" s="39">
        <f t="shared" ca="1" si="52"/>
        <v>438998.07314972964</v>
      </c>
      <c r="AG30" s="39">
        <f t="shared" ca="1" si="52"/>
        <v>0</v>
      </c>
      <c r="AI30" s="41"/>
      <c r="AJ30" s="39">
        <f t="shared" ca="1" si="53"/>
        <v>760703.63316848653</v>
      </c>
      <c r="AK30" s="39">
        <f t="shared" ca="1" si="53"/>
        <v>3042814.5326739461</v>
      </c>
      <c r="AL30" s="39">
        <f t="shared" ca="1" si="53"/>
        <v>1299814.2566372664</v>
      </c>
      <c r="AM30" s="39">
        <f t="shared" ca="1" si="53"/>
        <v>1084028.2093308487</v>
      </c>
      <c r="AN30" s="39">
        <f t="shared" ca="1" si="53"/>
        <v>0</v>
      </c>
      <c r="AO30" s="39">
        <f t="shared" ca="1" si="53"/>
        <v>1265462.022711853</v>
      </c>
      <c r="AP30" s="39">
        <f t="shared" ca="1" si="53"/>
        <v>0</v>
      </c>
      <c r="AQ30" s="39">
        <f t="shared" ca="1" si="53"/>
        <v>894677.34547759907</v>
      </c>
      <c r="AR30" s="39">
        <f t="shared" ca="1" si="53"/>
        <v>0</v>
      </c>
      <c r="AT30" s="41"/>
      <c r="AU30" s="39">
        <f t="shared" ca="1" si="54"/>
        <v>237412.49110396468</v>
      </c>
      <c r="AV30" s="39">
        <f t="shared" ca="1" si="54"/>
        <v>949649.96441585873</v>
      </c>
      <c r="AW30" s="39">
        <f t="shared" ca="1" si="54"/>
        <v>173603.8220607281</v>
      </c>
      <c r="AX30" s="39">
        <f t="shared" ca="1" si="54"/>
        <v>49571.42296975755</v>
      </c>
      <c r="AY30" s="39">
        <f t="shared" ca="1" si="54"/>
        <v>173337.86446277986</v>
      </c>
      <c r="AZ30" s="39">
        <f t="shared" ca="1" si="54"/>
        <v>1357580.804983939</v>
      </c>
      <c r="BA30" s="39">
        <f t="shared" ca="1" si="54"/>
        <v>520013.59338833956</v>
      </c>
      <c r="BB30" s="39">
        <f t="shared" ca="1" si="54"/>
        <v>106383.03917930486</v>
      </c>
      <c r="BC30" s="39">
        <f t="shared" ca="1" si="54"/>
        <v>332446.99743532768</v>
      </c>
    </row>
    <row r="31" spans="2:55" x14ac:dyDescent="0.35">
      <c r="B31" s="12" t="s">
        <v>67</v>
      </c>
      <c r="C31" s="12"/>
      <c r="D31" s="12"/>
      <c r="E31" s="12"/>
      <c r="F31" s="106">
        <f t="shared" ca="1" si="50"/>
        <v>16.028778111391322</v>
      </c>
      <c r="G31" s="13">
        <f>SUM(H31:J31)</f>
        <v>71309821.846200615</v>
      </c>
      <c r="H31" s="129">
        <f>+SUM(H27:H30)</f>
        <v>31353547.897872344</v>
      </c>
      <c r="I31" s="129">
        <f>+SUM(I27:I30)</f>
        <v>10461100</v>
      </c>
      <c r="J31" s="129">
        <f>+SUM(J27:J30)</f>
        <v>29495173.948328272</v>
      </c>
      <c r="M31" s="129">
        <f t="shared" ref="M31:U31" ca="1" si="55">+SUM(M27:M30)</f>
        <v>5072314.5644721948</v>
      </c>
      <c r="N31" s="129">
        <f t="shared" ca="1" si="55"/>
        <v>20289258.257888779</v>
      </c>
      <c r="O31" s="129">
        <f t="shared" ca="1" si="55"/>
        <v>7448456.2791673895</v>
      </c>
      <c r="P31" s="129">
        <f t="shared" ca="1" si="55"/>
        <v>5570744.2147976048</v>
      </c>
      <c r="Q31" s="129">
        <f t="shared" ca="1" si="55"/>
        <v>2770096.1770735853</v>
      </c>
      <c r="R31" s="129">
        <f t="shared" ca="1" si="55"/>
        <v>20255511.0697871</v>
      </c>
      <c r="S31" s="129">
        <f t="shared" ca="1" si="55"/>
        <v>3932792.6647395696</v>
      </c>
      <c r="T31" s="129">
        <f t="shared" ca="1" si="55"/>
        <v>3456396.8187988941</v>
      </c>
      <c r="U31" s="129">
        <f t="shared" ca="1" si="55"/>
        <v>2514251.7994754957</v>
      </c>
      <c r="X31" s="34">
        <f ca="1">+SUM(Y31:AG31)</f>
        <v>31353547.897872344</v>
      </c>
      <c r="Y31" s="129">
        <f t="shared" ref="Y31:AG31" ca="1" si="56">+SUM(Y27:Y30)</f>
        <v>2323480.9398767739</v>
      </c>
      <c r="Z31" s="129">
        <f t="shared" ca="1" si="56"/>
        <v>9293923.7595070954</v>
      </c>
      <c r="AA31" s="129">
        <f t="shared" ca="1" si="56"/>
        <v>4506584.7387944795</v>
      </c>
      <c r="AB31" s="129">
        <f t="shared" ca="1" si="56"/>
        <v>3837336.389173436</v>
      </c>
      <c r="AC31" s="129">
        <f t="shared" ca="1" si="56"/>
        <v>1459165.2888270617</v>
      </c>
      <c r="AD31" s="129">
        <f t="shared" ca="1" si="56"/>
        <v>8402431.58140729</v>
      </c>
      <c r="AE31" s="129">
        <f t="shared" ca="1" si="56"/>
        <v>0</v>
      </c>
      <c r="AF31" s="129">
        <f t="shared" ca="1" si="56"/>
        <v>1530625.2002862068</v>
      </c>
      <c r="AG31" s="129">
        <f t="shared" ca="1" si="56"/>
        <v>0</v>
      </c>
      <c r="AH31" s="34"/>
      <c r="AI31" s="34">
        <f ca="1">+SUM(AJ31:AR31)</f>
        <v>10461099.999999998</v>
      </c>
      <c r="AJ31" s="129">
        <f t="shared" ref="AJ31:AR31" ca="1" si="57">+SUM(AJ27:AJ30)</f>
        <v>953314.97777045274</v>
      </c>
      <c r="AK31" s="129">
        <f t="shared" ca="1" si="57"/>
        <v>3813259.9110818109</v>
      </c>
      <c r="AL31" s="129">
        <f t="shared" ca="1" si="57"/>
        <v>1628929.2506868052</v>
      </c>
      <c r="AM31" s="129">
        <f t="shared" ca="1" si="57"/>
        <v>1358505.8401474622</v>
      </c>
      <c r="AN31" s="129">
        <f t="shared" ca="1" si="57"/>
        <v>0</v>
      </c>
      <c r="AO31" s="129">
        <f t="shared" ca="1" si="57"/>
        <v>1585878.9776329398</v>
      </c>
      <c r="AP31" s="129">
        <f t="shared" ca="1" si="57"/>
        <v>0</v>
      </c>
      <c r="AQ31" s="129">
        <f t="shared" ca="1" si="57"/>
        <v>1121211.0426805285</v>
      </c>
      <c r="AR31" s="129">
        <f t="shared" ca="1" si="57"/>
        <v>0</v>
      </c>
      <c r="AT31" s="34">
        <f ca="1">+SUM(AU31:BC31)</f>
        <v>29495173.948328268</v>
      </c>
      <c r="AU31" s="129">
        <f t="shared" ref="AU31:BC31" ca="1" si="58">+SUM(AU27:AU30)</f>
        <v>1795518.6468249683</v>
      </c>
      <c r="AV31" s="129">
        <f t="shared" ca="1" si="58"/>
        <v>7182074.5872998731</v>
      </c>
      <c r="AW31" s="129">
        <f t="shared" ca="1" si="58"/>
        <v>1312942.2896861034</v>
      </c>
      <c r="AX31" s="129">
        <f t="shared" ca="1" si="58"/>
        <v>374901.98547670629</v>
      </c>
      <c r="AY31" s="129">
        <f t="shared" ca="1" si="58"/>
        <v>1310930.8882465232</v>
      </c>
      <c r="AZ31" s="129">
        <f t="shared" ca="1" si="58"/>
        <v>10267200.51074687</v>
      </c>
      <c r="BA31" s="129">
        <f t="shared" ca="1" si="58"/>
        <v>3932792.6647395696</v>
      </c>
      <c r="BB31" s="129">
        <f t="shared" ca="1" si="58"/>
        <v>804560.57583215856</v>
      </c>
      <c r="BC31" s="129">
        <f t="shared" ca="1" si="58"/>
        <v>2514251.7994754957</v>
      </c>
    </row>
    <row r="32" spans="2:55" x14ac:dyDescent="0.35">
      <c r="B32" s="9"/>
      <c r="C32" s="9"/>
      <c r="D32" s="9"/>
      <c r="E32" s="9"/>
      <c r="F32" s="9"/>
      <c r="G32" s="9"/>
      <c r="H32" s="39"/>
      <c r="I32" s="9"/>
      <c r="J32" s="39"/>
      <c r="M32" s="33"/>
      <c r="N32" s="33"/>
      <c r="O32" s="33"/>
      <c r="P32" s="33"/>
      <c r="Q32" s="33"/>
      <c r="R32" s="33"/>
      <c r="S32" s="33"/>
      <c r="T32" s="33"/>
      <c r="U32" s="33"/>
      <c r="X32" s="41"/>
      <c r="Y32" s="33"/>
      <c r="Z32" s="33"/>
      <c r="AA32" s="33"/>
      <c r="AB32" s="33"/>
      <c r="AC32" s="33"/>
      <c r="AD32" s="33"/>
      <c r="AE32" s="33"/>
      <c r="AF32" s="33"/>
      <c r="AG32" s="33"/>
      <c r="AI32" s="41"/>
      <c r="AJ32" s="33"/>
      <c r="AK32" s="33"/>
      <c r="AL32" s="33"/>
      <c r="AM32" s="33"/>
      <c r="AN32" s="33"/>
      <c r="AO32" s="33"/>
      <c r="AP32" s="33"/>
      <c r="AQ32" s="33"/>
      <c r="AR32" s="33"/>
      <c r="AT32" s="41"/>
      <c r="AU32" s="33"/>
      <c r="AV32" s="33"/>
      <c r="AW32" s="33"/>
      <c r="AX32" s="33"/>
      <c r="AY32" s="33"/>
      <c r="AZ32" s="33"/>
      <c r="BA32" s="33"/>
      <c r="BB32" s="33"/>
      <c r="BC32" s="33"/>
    </row>
    <row r="33" spans="2:55" ht="32.25" customHeight="1" x14ac:dyDescent="0.35">
      <c r="B33" s="15" t="s">
        <v>57</v>
      </c>
      <c r="C33" s="16"/>
      <c r="D33" s="16" t="s">
        <v>37</v>
      </c>
      <c r="E33" s="16"/>
      <c r="F33" s="16"/>
      <c r="G33" s="15" t="s">
        <v>17</v>
      </c>
      <c r="H33" s="23" t="str">
        <f>+H$22</f>
        <v>I</v>
      </c>
      <c r="I33" s="23" t="str">
        <f t="shared" ref="I33:J33" si="59">+I$22</f>
        <v>II</v>
      </c>
      <c r="J33" s="46" t="str">
        <f t="shared" si="59"/>
        <v>III</v>
      </c>
      <c r="M33" s="214" t="str">
        <f t="shared" ref="M33:U33" ca="1" si="60">+M$22</f>
        <v>Affordable Residential</v>
      </c>
      <c r="N33" s="214" t="str">
        <f t="shared" ca="1" si="60"/>
        <v>Market Rate Residential</v>
      </c>
      <c r="O33" s="214" t="str">
        <f t="shared" ca="1" si="60"/>
        <v>Retail</v>
      </c>
      <c r="P33" s="214" t="str">
        <f t="shared" ca="1" si="60"/>
        <v>Hotel</v>
      </c>
      <c r="Q33" s="214" t="str">
        <f t="shared" ca="1" si="60"/>
        <v>Community Facility</v>
      </c>
      <c r="R33" s="214" t="str">
        <f t="shared" ca="1" si="60"/>
        <v>Office</v>
      </c>
      <c r="S33" s="214" t="str">
        <f t="shared" ca="1" si="60"/>
        <v>Industrial</v>
      </c>
      <c r="T33" s="214" t="str">
        <f t="shared" ca="1" si="60"/>
        <v>Structural Parking</v>
      </c>
      <c r="U33" s="214" t="str">
        <f t="shared" ca="1" si="60"/>
        <v>Surface Parking</v>
      </c>
      <c r="X33" s="41"/>
      <c r="Y33" s="214" t="str">
        <f t="shared" ref="Y33:AG33" ca="1" si="61">+Y$22</f>
        <v>Affordable Residential</v>
      </c>
      <c r="Z33" s="214" t="str">
        <f t="shared" ca="1" si="61"/>
        <v>Market Rate Residential</v>
      </c>
      <c r="AA33" s="214" t="str">
        <f t="shared" ca="1" si="61"/>
        <v>Retail</v>
      </c>
      <c r="AB33" s="214" t="str">
        <f t="shared" ca="1" si="61"/>
        <v>Hotel</v>
      </c>
      <c r="AC33" s="214" t="str">
        <f t="shared" ca="1" si="61"/>
        <v>Community Facility</v>
      </c>
      <c r="AD33" s="214" t="str">
        <f t="shared" ca="1" si="61"/>
        <v>Office</v>
      </c>
      <c r="AE33" s="214" t="str">
        <f t="shared" ca="1" si="61"/>
        <v>Industrial</v>
      </c>
      <c r="AF33" s="214" t="str">
        <f t="shared" ca="1" si="61"/>
        <v>Structural Parking</v>
      </c>
      <c r="AG33" s="214" t="str">
        <f t="shared" ca="1" si="61"/>
        <v>Surface Parking</v>
      </c>
      <c r="AI33" s="41"/>
      <c r="AJ33" s="214" t="str">
        <f t="shared" ref="AJ33:AR33" ca="1" si="62">+AJ$22</f>
        <v>Affordable Residential</v>
      </c>
      <c r="AK33" s="214" t="str">
        <f t="shared" ca="1" si="62"/>
        <v>Market Rate Residential</v>
      </c>
      <c r="AL33" s="214" t="str">
        <f t="shared" ca="1" si="62"/>
        <v>Retail</v>
      </c>
      <c r="AM33" s="214" t="str">
        <f t="shared" ca="1" si="62"/>
        <v>Hotel</v>
      </c>
      <c r="AN33" s="214" t="str">
        <f t="shared" ca="1" si="62"/>
        <v>Community Facility</v>
      </c>
      <c r="AO33" s="214" t="str">
        <f t="shared" ca="1" si="62"/>
        <v>Office</v>
      </c>
      <c r="AP33" s="214" t="str">
        <f t="shared" ca="1" si="62"/>
        <v>Industrial</v>
      </c>
      <c r="AQ33" s="214" t="str">
        <f t="shared" ca="1" si="62"/>
        <v>Structural Parking</v>
      </c>
      <c r="AR33" s="214" t="str">
        <f t="shared" ca="1" si="62"/>
        <v>Surface Parking</v>
      </c>
      <c r="AT33" s="41"/>
      <c r="AU33" s="214" t="str">
        <f t="shared" ref="AU33:BC33" ca="1" si="63">+AU$22</f>
        <v>Affordable Residential</v>
      </c>
      <c r="AV33" s="214" t="str">
        <f t="shared" ca="1" si="63"/>
        <v>Market Rate Residential</v>
      </c>
      <c r="AW33" s="214" t="str">
        <f t="shared" ca="1" si="63"/>
        <v>Retail</v>
      </c>
      <c r="AX33" s="214" t="str">
        <f t="shared" ca="1" si="63"/>
        <v>Hotel</v>
      </c>
      <c r="AY33" s="214" t="str">
        <f t="shared" ca="1" si="63"/>
        <v>Community Facility</v>
      </c>
      <c r="AZ33" s="214" t="str">
        <f t="shared" ca="1" si="63"/>
        <v>Office</v>
      </c>
      <c r="BA33" s="214" t="str">
        <f t="shared" ca="1" si="63"/>
        <v>Industrial</v>
      </c>
      <c r="BB33" s="214" t="str">
        <f t="shared" ca="1" si="63"/>
        <v>Structural Parking</v>
      </c>
      <c r="BC33" s="214" t="str">
        <f t="shared" ca="1" si="63"/>
        <v>Surface Parking</v>
      </c>
    </row>
    <row r="34" spans="2:55" x14ac:dyDescent="0.35">
      <c r="B34" s="9" t="s">
        <v>50</v>
      </c>
      <c r="C34" s="9"/>
      <c r="D34" s="17">
        <v>8</v>
      </c>
      <c r="E34" s="9"/>
      <c r="F34" s="105">
        <f t="shared" ref="F34:F45" ca="1" si="64">+G34/$G$10</f>
        <v>3.5964253330402249E-2</v>
      </c>
      <c r="G34" s="21">
        <f t="shared" ref="G34:G44" si="65">+SUM(H34:J34)</f>
        <v>160000</v>
      </c>
      <c r="H34" s="11">
        <f>+$D34*H$9</f>
        <v>160000</v>
      </c>
      <c r="I34" s="34">
        <f t="shared" ref="I34:J34" si="66">+$D34*I$9</f>
        <v>0</v>
      </c>
      <c r="J34" s="34">
        <f t="shared" si="66"/>
        <v>0</v>
      </c>
      <c r="M34" s="39">
        <f t="shared" ref="M34:U34" ca="1" si="67">+$H34*M$5+$I34*M$6+$J34*M$7</f>
        <v>11856.934073017979</v>
      </c>
      <c r="N34" s="39">
        <f t="shared" ca="1" si="67"/>
        <v>47427.736292071917</v>
      </c>
      <c r="O34" s="39">
        <f t="shared" ca="1" si="67"/>
        <v>22997.510857648347</v>
      </c>
      <c r="P34" s="39">
        <f t="shared" ca="1" si="67"/>
        <v>19582.275800736865</v>
      </c>
      <c r="Q34" s="39">
        <f t="shared" ca="1" si="67"/>
        <v>7446.2528761592857</v>
      </c>
      <c r="R34" s="39">
        <f t="shared" ca="1" si="67"/>
        <v>42878.3708116298</v>
      </c>
      <c r="S34" s="39">
        <f t="shared" ca="1" si="67"/>
        <v>0</v>
      </c>
      <c r="T34" s="39">
        <f t="shared" ca="1" si="67"/>
        <v>7810.9192887358067</v>
      </c>
      <c r="U34" s="39">
        <f t="shared" ca="1" si="67"/>
        <v>0</v>
      </c>
      <c r="X34" s="41"/>
      <c r="Y34" s="39">
        <f t="shared" ref="Y34:AG34" ca="1" si="68">+$H34*Y$5+$I34*Y$6+$J34*Y$7</f>
        <v>11856.934073017979</v>
      </c>
      <c r="Z34" s="39">
        <f t="shared" ca="1" si="68"/>
        <v>47427.736292071917</v>
      </c>
      <c r="AA34" s="39">
        <f t="shared" ca="1" si="68"/>
        <v>22997.510857648347</v>
      </c>
      <c r="AB34" s="39">
        <f t="shared" ca="1" si="68"/>
        <v>19582.275800736865</v>
      </c>
      <c r="AC34" s="39">
        <f t="shared" ca="1" si="68"/>
        <v>7446.2528761592857</v>
      </c>
      <c r="AD34" s="39">
        <f t="shared" ca="1" si="68"/>
        <v>42878.3708116298</v>
      </c>
      <c r="AE34" s="39">
        <f t="shared" ca="1" si="68"/>
        <v>0</v>
      </c>
      <c r="AF34" s="39">
        <f t="shared" ca="1" si="68"/>
        <v>7810.9192887358067</v>
      </c>
      <c r="AG34" s="39">
        <f t="shared" ca="1" si="68"/>
        <v>0</v>
      </c>
      <c r="AI34" s="41"/>
      <c r="AJ34" s="39">
        <f t="shared" ref="AJ34:AR34" ca="1" si="69">+$H34*AJ$5+$I34*AJ$6+$J34*AJ$7</f>
        <v>0</v>
      </c>
      <c r="AK34" s="39">
        <f t="shared" ca="1" si="69"/>
        <v>0</v>
      </c>
      <c r="AL34" s="39">
        <f t="shared" ca="1" si="69"/>
        <v>0</v>
      </c>
      <c r="AM34" s="39">
        <f t="shared" ca="1" si="69"/>
        <v>0</v>
      </c>
      <c r="AN34" s="39">
        <f t="shared" ca="1" si="69"/>
        <v>0</v>
      </c>
      <c r="AO34" s="39">
        <f t="shared" ca="1" si="69"/>
        <v>0</v>
      </c>
      <c r="AP34" s="39">
        <f t="shared" ca="1" si="69"/>
        <v>0</v>
      </c>
      <c r="AQ34" s="39">
        <f t="shared" ca="1" si="69"/>
        <v>0</v>
      </c>
      <c r="AR34" s="39">
        <f t="shared" ca="1" si="69"/>
        <v>0</v>
      </c>
      <c r="AT34" s="41"/>
      <c r="AU34" s="39">
        <f t="shared" ref="AU34:BC34" ca="1" si="70">+$H34*AU$5+$I34*AU$6+$J34*AU$7</f>
        <v>0</v>
      </c>
      <c r="AV34" s="39">
        <f t="shared" ca="1" si="70"/>
        <v>0</v>
      </c>
      <c r="AW34" s="39">
        <f t="shared" ca="1" si="70"/>
        <v>0</v>
      </c>
      <c r="AX34" s="39">
        <f t="shared" ca="1" si="70"/>
        <v>0</v>
      </c>
      <c r="AY34" s="39">
        <f t="shared" ca="1" si="70"/>
        <v>0</v>
      </c>
      <c r="AZ34" s="39">
        <f t="shared" ca="1" si="70"/>
        <v>0</v>
      </c>
      <c r="BA34" s="39">
        <f t="shared" ca="1" si="70"/>
        <v>0</v>
      </c>
      <c r="BB34" s="39">
        <f t="shared" ca="1" si="70"/>
        <v>0</v>
      </c>
      <c r="BC34" s="39">
        <f t="shared" ca="1" si="70"/>
        <v>0</v>
      </c>
    </row>
    <row r="35" spans="2:55" x14ac:dyDescent="0.35">
      <c r="B35" s="55" t="s">
        <v>143</v>
      </c>
      <c r="C35" s="9"/>
      <c r="D35" s="17">
        <v>170</v>
      </c>
      <c r="E35" s="9"/>
      <c r="F35" s="105">
        <f t="shared" ca="1" si="64"/>
        <v>12.828245467950573</v>
      </c>
      <c r="G35" s="21">
        <f t="shared" ca="1" si="65"/>
        <v>57071093.789037526</v>
      </c>
      <c r="H35" s="11">
        <f t="shared" ref="H35" ca="1" si="71">+$D35*H11</f>
        <v>21418905.199999999</v>
      </c>
      <c r="I35" s="34">
        <f ca="1">+$D35*I11*(1+Assumptions!O$85)^Assumptions!O$86</f>
        <v>15940582.236</v>
      </c>
      <c r="J35" s="34">
        <f ca="1">+$D35*J11*(1+Assumptions!P$85)^Assumptions!P$86</f>
        <v>19711606.353037525</v>
      </c>
      <c r="K35" s="34"/>
      <c r="L35" s="34"/>
      <c r="M35" s="34">
        <f ca="1">+$G$35</f>
        <v>57071093.789037526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X35" s="34"/>
      <c r="Y35" s="34">
        <f ca="1">+$H$35</f>
        <v>21418905.199999999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I35" s="34"/>
      <c r="AJ35" s="34">
        <f ca="1">+$I$35</f>
        <v>15940582.236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T35" s="34"/>
      <c r="AU35" s="34">
        <f ca="1">+$J$35</f>
        <v>19711606.353037525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</row>
    <row r="36" spans="2:55" x14ac:dyDescent="0.35">
      <c r="B36" s="55" t="s">
        <v>144</v>
      </c>
      <c r="C36" s="9"/>
      <c r="D36" s="17">
        <v>180</v>
      </c>
      <c r="E36" s="9"/>
      <c r="F36" s="105">
        <f t="shared" ca="1" si="64"/>
        <v>54.331392570143599</v>
      </c>
      <c r="G36" s="21">
        <f t="shared" ca="1" si="65"/>
        <v>241712867.8123942</v>
      </c>
      <c r="H36" s="34">
        <f t="shared" ref="H36" ca="1" si="72">+$D36*H12</f>
        <v>90715363.200000003</v>
      </c>
      <c r="I36" s="34">
        <f ca="1">+$D36*I12*(1+Assumptions!O$85)^Assumptions!O$86</f>
        <v>67513054.175999999</v>
      </c>
      <c r="J36" s="34">
        <f ca="1">+$D36*J12*(1+Assumptions!P$85)^Assumptions!P$86</f>
        <v>83484450.436394215</v>
      </c>
      <c r="K36" s="34"/>
      <c r="L36" s="34"/>
      <c r="M36" s="34">
        <v>0</v>
      </c>
      <c r="N36" s="34">
        <f ca="1">+$G$36</f>
        <v>241712867.8123942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X36" s="34"/>
      <c r="Y36" s="34">
        <v>0</v>
      </c>
      <c r="Z36" s="34">
        <f ca="1">+$H$36</f>
        <v>90715363.200000003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I36" s="34"/>
      <c r="AJ36" s="34">
        <v>0</v>
      </c>
      <c r="AK36" s="34">
        <f ca="1">+$I$36</f>
        <v>67513054.175999999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T36" s="34"/>
      <c r="AU36" s="34">
        <v>0</v>
      </c>
      <c r="AV36" s="34">
        <f ca="1">+$J$36</f>
        <v>83484450.436394215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</row>
    <row r="37" spans="2:55" x14ac:dyDescent="0.35">
      <c r="B37" s="55" t="s">
        <v>25</v>
      </c>
      <c r="C37" s="9"/>
      <c r="D37" s="17">
        <v>165</v>
      </c>
      <c r="E37" s="9"/>
      <c r="F37" s="105">
        <f t="shared" ca="1" si="64"/>
        <v>18.150322336433902</v>
      </c>
      <c r="G37" s="21">
        <f t="shared" ca="1" si="65"/>
        <v>80748279.330311999</v>
      </c>
      <c r="H37" s="34">
        <f t="shared" ref="H37" ca="1" si="73">+$D37*H13</f>
        <v>40321875</v>
      </c>
      <c r="I37" s="34">
        <f ca="1">+$D37*I13*(1+Assumptions!O$85)^Assumptions!O$86</f>
        <v>26436564</v>
      </c>
      <c r="J37" s="34">
        <f ca="1">+$D37*J13*(1+Assumptions!P$85)^Assumptions!P$86</f>
        <v>13989840.330312001</v>
      </c>
      <c r="K37" s="34"/>
      <c r="L37" s="34"/>
      <c r="M37" s="34">
        <v>0</v>
      </c>
      <c r="N37" s="34">
        <v>0</v>
      </c>
      <c r="O37" s="34">
        <f ca="1">+$G$37</f>
        <v>80748279.330311999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X37" s="34"/>
      <c r="Y37" s="34">
        <v>0</v>
      </c>
      <c r="Z37" s="34">
        <v>0</v>
      </c>
      <c r="AA37" s="34">
        <f ca="1">+$H$37</f>
        <v>40321875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I37" s="34"/>
      <c r="AJ37" s="34">
        <v>0</v>
      </c>
      <c r="AK37" s="34">
        <v>0</v>
      </c>
      <c r="AL37" s="34">
        <f ca="1">+$I$37</f>
        <v>26436564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T37" s="34"/>
      <c r="AU37" s="34">
        <v>0</v>
      </c>
      <c r="AV37" s="34">
        <v>0</v>
      </c>
      <c r="AW37" s="34">
        <f ca="1">+$J$37</f>
        <v>13989840.330312001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</row>
    <row r="38" spans="2:55" x14ac:dyDescent="0.35">
      <c r="B38" s="55" t="s">
        <v>26</v>
      </c>
      <c r="C38" s="9"/>
      <c r="D38" s="17">
        <v>185</v>
      </c>
      <c r="E38" s="9"/>
      <c r="F38" s="105">
        <f t="shared" ca="1" si="64"/>
        <v>15.216182454911545</v>
      </c>
      <c r="G38" s="21">
        <f t="shared" ca="1" si="65"/>
        <v>67694695.908722684</v>
      </c>
      <c r="H38" s="34">
        <f t="shared" ref="H38" ca="1" si="74">+$D38*H14</f>
        <v>38495577</v>
      </c>
      <c r="I38" s="34">
        <f ca="1">+$D38*I14*(1+Assumptions!O$85)^Assumptions!O$86</f>
        <v>24720205.715999998</v>
      </c>
      <c r="J38" s="34">
        <f ca="1">+$D38*J14*(1+Assumptions!P$85)^Assumptions!P$86</f>
        <v>4478913.1927226875</v>
      </c>
      <c r="K38" s="34"/>
      <c r="L38" s="34"/>
      <c r="M38" s="34">
        <v>0</v>
      </c>
      <c r="N38" s="34">
        <v>0</v>
      </c>
      <c r="O38" s="34">
        <v>0</v>
      </c>
      <c r="P38" s="34">
        <f ca="1">+$G$38</f>
        <v>67694695.908722684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X38" s="34"/>
      <c r="Y38" s="34">
        <v>0</v>
      </c>
      <c r="Z38" s="34">
        <v>0</v>
      </c>
      <c r="AA38" s="34">
        <v>0</v>
      </c>
      <c r="AB38" s="34">
        <f ca="1">+$H$38</f>
        <v>38495577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I38" s="34"/>
      <c r="AJ38" s="34">
        <v>0</v>
      </c>
      <c r="AK38" s="34">
        <v>0</v>
      </c>
      <c r="AL38" s="34">
        <v>0</v>
      </c>
      <c r="AM38" s="34">
        <f ca="1">+$I$38</f>
        <v>24720205.715999998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T38" s="34"/>
      <c r="AU38" s="34">
        <v>0</v>
      </c>
      <c r="AV38" s="34">
        <v>0</v>
      </c>
      <c r="AW38" s="34">
        <v>0</v>
      </c>
      <c r="AX38" s="34">
        <f ca="1">+$J$38</f>
        <v>4478913.1927226875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</row>
    <row r="39" spans="2:55" x14ac:dyDescent="0.35">
      <c r="B39" s="55" t="s">
        <v>147</v>
      </c>
      <c r="C39" s="9"/>
      <c r="D39" s="17">
        <v>165</v>
      </c>
      <c r="E39" s="9"/>
      <c r="F39" s="105">
        <f t="shared" ca="1" si="64"/>
        <v>6.0743698441408158</v>
      </c>
      <c r="G39" s="21">
        <f t="shared" ca="1" si="65"/>
        <v>27024033.173543997</v>
      </c>
      <c r="H39" s="34">
        <f t="shared" ref="H39" ca="1" si="75">+$D39*H15</f>
        <v>13055625</v>
      </c>
      <c r="I39" s="34">
        <f ca="1">+$D39*I15*(1+Assumptions!O$85)^Assumptions!O$86</f>
        <v>0</v>
      </c>
      <c r="J39" s="34">
        <f ca="1">+$D39*J15*(1+Assumptions!P$85)^Assumptions!P$86</f>
        <v>13968408.173543999</v>
      </c>
      <c r="K39" s="34"/>
      <c r="L39" s="34"/>
      <c r="M39" s="34">
        <v>0</v>
      </c>
      <c r="N39" s="34">
        <v>0</v>
      </c>
      <c r="O39" s="34">
        <v>0</v>
      </c>
      <c r="P39" s="34">
        <v>0</v>
      </c>
      <c r="Q39" s="34">
        <f ca="1">+$G$39</f>
        <v>27024033.173543997</v>
      </c>
      <c r="R39" s="34">
        <v>0</v>
      </c>
      <c r="S39" s="34">
        <v>0</v>
      </c>
      <c r="T39" s="34">
        <v>0</v>
      </c>
      <c r="U39" s="34">
        <v>0</v>
      </c>
      <c r="X39" s="34"/>
      <c r="Y39" s="34">
        <v>0</v>
      </c>
      <c r="Z39" s="34">
        <v>0</v>
      </c>
      <c r="AA39" s="34">
        <v>0</v>
      </c>
      <c r="AB39" s="34">
        <v>0</v>
      </c>
      <c r="AC39" s="34">
        <f ca="1">+$H$39</f>
        <v>13055625</v>
      </c>
      <c r="AD39" s="34">
        <v>0</v>
      </c>
      <c r="AE39" s="34">
        <v>0</v>
      </c>
      <c r="AF39" s="34">
        <v>0</v>
      </c>
      <c r="AG39" s="34">
        <v>0</v>
      </c>
      <c r="AI39" s="34"/>
      <c r="AJ39" s="34">
        <v>0</v>
      </c>
      <c r="AK39" s="34">
        <v>0</v>
      </c>
      <c r="AL39" s="34">
        <v>0</v>
      </c>
      <c r="AM39" s="34">
        <v>0</v>
      </c>
      <c r="AN39" s="34">
        <f ca="1">+$I$39</f>
        <v>0</v>
      </c>
      <c r="AO39" s="34">
        <v>0</v>
      </c>
      <c r="AP39" s="34">
        <v>0</v>
      </c>
      <c r="AQ39" s="34">
        <v>0</v>
      </c>
      <c r="AR39" s="34">
        <v>0</v>
      </c>
      <c r="AT39" s="34"/>
      <c r="AU39" s="34">
        <v>0</v>
      </c>
      <c r="AV39" s="34">
        <v>0</v>
      </c>
      <c r="AW39" s="34">
        <v>0</v>
      </c>
      <c r="AX39" s="34">
        <v>0</v>
      </c>
      <c r="AY39" s="34">
        <f ca="1">+$J$39</f>
        <v>13968408.173543999</v>
      </c>
      <c r="AZ39" s="34">
        <v>0</v>
      </c>
      <c r="BA39" s="34">
        <v>0</v>
      </c>
      <c r="BB39" s="34">
        <v>0</v>
      </c>
      <c r="BC39" s="34">
        <v>0</v>
      </c>
    </row>
    <row r="40" spans="2:55" x14ac:dyDescent="0.35">
      <c r="B40" s="55" t="s">
        <v>148</v>
      </c>
      <c r="C40" s="9"/>
      <c r="D40" s="17">
        <v>165</v>
      </c>
      <c r="E40" s="9"/>
      <c r="F40" s="105">
        <f t="shared" ca="1" si="64"/>
        <v>47.274477708421969</v>
      </c>
      <c r="G40" s="21">
        <f t="shared" ca="1" si="65"/>
        <v>210317627.44684559</v>
      </c>
      <c r="H40" s="34">
        <f t="shared" ref="H40" ca="1" si="76">+$D40*H16</f>
        <v>75179280</v>
      </c>
      <c r="I40" s="34">
        <f ca="1">+$D40*I16*(1+Assumptions!O$85)^Assumptions!O$86</f>
        <v>25737883.379999999</v>
      </c>
      <c r="J40" s="34">
        <f ca="1">+$D40*J16*(1+Assumptions!P$85)^Assumptions!P$86</f>
        <v>109400464.06684558</v>
      </c>
      <c r="K40" s="34"/>
      <c r="L40" s="34"/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f ca="1">+$G$40</f>
        <v>210317627.44684559</v>
      </c>
      <c r="S40" s="34">
        <v>0</v>
      </c>
      <c r="T40" s="34">
        <v>0</v>
      </c>
      <c r="U40" s="34">
        <v>0</v>
      </c>
      <c r="X40" s="34"/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f ca="1">+$H$40</f>
        <v>75179280</v>
      </c>
      <c r="AE40" s="34">
        <v>0</v>
      </c>
      <c r="AF40" s="34">
        <v>0</v>
      </c>
      <c r="AG40" s="34">
        <v>0</v>
      </c>
      <c r="AI40" s="34"/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f ca="1">+$I$40</f>
        <v>25737883.379999999</v>
      </c>
      <c r="AP40" s="34">
        <v>0</v>
      </c>
      <c r="AQ40" s="34">
        <v>0</v>
      </c>
      <c r="AR40" s="34">
        <v>0</v>
      </c>
      <c r="AT40" s="34"/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f ca="1">+$J$40</f>
        <v>109400464.06684558</v>
      </c>
      <c r="BA40" s="34">
        <v>0</v>
      </c>
      <c r="BB40" s="34">
        <v>0</v>
      </c>
      <c r="BC40" s="34">
        <v>0</v>
      </c>
    </row>
    <row r="41" spans="2:55" s="41" customFormat="1" x14ac:dyDescent="0.35">
      <c r="B41" s="55" t="s">
        <v>238</v>
      </c>
      <c r="C41" s="33"/>
      <c r="D41" s="171">
        <v>110</v>
      </c>
      <c r="E41" s="33"/>
      <c r="F41" s="105">
        <f t="shared" ref="F41" ca="1" si="77">+G41/$G$10</f>
        <v>6.2795421271974714</v>
      </c>
      <c r="G41" s="43">
        <f t="shared" ca="1" si="65"/>
        <v>27936816.347087998</v>
      </c>
      <c r="H41" s="34">
        <f t="shared" ref="H41" ca="1" si="78">+$D41*H17</f>
        <v>0</v>
      </c>
      <c r="I41" s="34">
        <f ca="1">+$D41*I17*(1+Assumptions!O$85)^Assumptions!O$86</f>
        <v>0</v>
      </c>
      <c r="J41" s="34">
        <f ca="1">+$D41*J17*(1+Assumptions!P$85)^Assumptions!P$86</f>
        <v>27936816.347087998</v>
      </c>
      <c r="K41" s="34"/>
      <c r="L41" s="34"/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f ca="1">+$G$41</f>
        <v>27936816.347087998</v>
      </c>
      <c r="T41" s="34">
        <v>0</v>
      </c>
      <c r="U41" s="34">
        <v>0</v>
      </c>
      <c r="X41" s="34"/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f ca="1">+$H$41</f>
        <v>0</v>
      </c>
      <c r="AF41" s="34">
        <v>0</v>
      </c>
      <c r="AG41" s="34">
        <v>0</v>
      </c>
      <c r="AI41" s="34"/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f ca="1">+$I$41</f>
        <v>0</v>
      </c>
      <c r="AQ41" s="34">
        <v>0</v>
      </c>
      <c r="AR41" s="34">
        <v>0</v>
      </c>
      <c r="AT41" s="34"/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f ca="1">+$J$41</f>
        <v>27936816.347087998</v>
      </c>
      <c r="BB41" s="34">
        <v>0</v>
      </c>
      <c r="BC41" s="34">
        <v>0</v>
      </c>
    </row>
    <row r="42" spans="2:55" x14ac:dyDescent="0.35">
      <c r="B42" s="55" t="s">
        <v>213</v>
      </c>
      <c r="C42" s="9"/>
      <c r="D42" s="171">
        <v>50</v>
      </c>
      <c r="E42" s="9"/>
      <c r="F42" s="105">
        <f t="shared" ca="1" si="64"/>
        <v>2.7562008405745111</v>
      </c>
      <c r="G42" s="21">
        <f t="shared" ca="1" si="65"/>
        <v>12261957.184</v>
      </c>
      <c r="H42" s="34">
        <f t="shared" ref="H42" ca="1" si="79">+$D42*H18</f>
        <v>4150000</v>
      </c>
      <c r="I42" s="34">
        <f ca="1">+$D42*I18*(1+Assumptions!O$85)^Assumptions!O$86</f>
        <v>5514120</v>
      </c>
      <c r="J42" s="34">
        <f ca="1">+$D42*J18*(1+Assumptions!P$85)^Assumptions!P$86</f>
        <v>2597837.1839999999</v>
      </c>
      <c r="K42" s="34"/>
      <c r="L42" s="34"/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f ca="1">+$G$42</f>
        <v>12261957.184</v>
      </c>
      <c r="U42" s="34">
        <v>0</v>
      </c>
      <c r="X42" s="34"/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f ca="1">+$H$42</f>
        <v>4150000</v>
      </c>
      <c r="AG42" s="34">
        <v>0</v>
      </c>
      <c r="AI42" s="34"/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f ca="1">+$I$42</f>
        <v>5514120</v>
      </c>
      <c r="AR42" s="34">
        <v>0</v>
      </c>
      <c r="AT42" s="34"/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f ca="1">+$J$42</f>
        <v>2597837.1839999999</v>
      </c>
      <c r="BC42" s="34">
        <v>0</v>
      </c>
    </row>
    <row r="43" spans="2:55" x14ac:dyDescent="0.35">
      <c r="B43" s="55" t="s">
        <v>28</v>
      </c>
      <c r="C43" s="9"/>
      <c r="D43" s="17">
        <v>10</v>
      </c>
      <c r="E43" s="9"/>
      <c r="F43" s="105">
        <f t="shared" ca="1" si="64"/>
        <v>0.36495810389263589</v>
      </c>
      <c r="G43" s="21">
        <f t="shared" ca="1" si="65"/>
        <v>1623648.24</v>
      </c>
      <c r="H43" s="34">
        <f t="shared" ref="H43" ca="1" si="80">+$D43*H19</f>
        <v>0</v>
      </c>
      <c r="I43" s="34">
        <f ca="1">+$D43*I19*(1+Assumptions!O$85)^Assumptions!O$86</f>
        <v>0</v>
      </c>
      <c r="J43" s="34">
        <f ca="1">+$D43*J19*(1+Assumptions!P$85)^Assumptions!P$86</f>
        <v>1623648.24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f ca="1">+$G$43</f>
        <v>1623648.24</v>
      </c>
      <c r="X43" s="41"/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f ca="1">+$H$43</f>
        <v>0</v>
      </c>
      <c r="AI43" s="41"/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f ca="1">+$I$43</f>
        <v>0</v>
      </c>
      <c r="AT43" s="41"/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f ca="1">+$J$43</f>
        <v>1623648.24</v>
      </c>
    </row>
    <row r="44" spans="2:55" ht="18.5" x14ac:dyDescent="0.35">
      <c r="B44" s="9" t="s">
        <v>363</v>
      </c>
      <c r="C44" s="9"/>
      <c r="D44" s="22">
        <v>0.05</v>
      </c>
      <c r="E44" s="9"/>
      <c r="F44" s="105">
        <f t="shared" ca="1" si="64"/>
        <v>8.1637845726833529</v>
      </c>
      <c r="G44" s="21">
        <f t="shared" ca="1" si="65"/>
        <v>36319550.961597204</v>
      </c>
      <c r="H44" s="11">
        <f t="shared" ref="H44:J44" ca="1" si="81">+SUM(H35:H43)*$D$44</f>
        <v>14166831.27</v>
      </c>
      <c r="I44" s="34">
        <f t="shared" ca="1" si="81"/>
        <v>8293120.4753999999</v>
      </c>
      <c r="J44" s="34">
        <f t="shared" ca="1" si="81"/>
        <v>13859599.216197202</v>
      </c>
      <c r="M44" s="34">
        <f t="shared" ref="M44:N44" ca="1" si="82">+SUM(M35:M43)*$D$44</f>
        <v>2853554.6894518766</v>
      </c>
      <c r="N44" s="34">
        <f t="shared" ca="1" si="82"/>
        <v>12085643.39061971</v>
      </c>
      <c r="O44" s="34">
        <f t="shared" ref="O44:U44" ca="1" si="83">+SUM(O35:O43)*$D$44</f>
        <v>4037413.9665156002</v>
      </c>
      <c r="P44" s="34">
        <f t="shared" ca="1" si="83"/>
        <v>3384734.7954361346</v>
      </c>
      <c r="Q44" s="34">
        <f t="shared" ca="1" si="83"/>
        <v>1351201.6586771999</v>
      </c>
      <c r="R44" s="34">
        <f t="shared" ca="1" si="83"/>
        <v>10515881.372342281</v>
      </c>
      <c r="S44" s="34">
        <f t="shared" ca="1" si="83"/>
        <v>1396840.8173543999</v>
      </c>
      <c r="T44" s="34">
        <f t="shared" ca="1" si="83"/>
        <v>613097.85920000006</v>
      </c>
      <c r="U44" s="34">
        <f t="shared" ca="1" si="83"/>
        <v>81182.412000000011</v>
      </c>
      <c r="X44" s="41"/>
      <c r="Y44" s="34">
        <f t="shared" ref="Y44:Z44" ca="1" si="84">+SUM(Y35:Y43)*$D$44</f>
        <v>1070945.26</v>
      </c>
      <c r="Z44" s="34">
        <f t="shared" ca="1" si="84"/>
        <v>4535768.16</v>
      </c>
      <c r="AA44" s="34">
        <f t="shared" ref="AA44:AG44" ca="1" si="85">+SUM(AA35:AA43)*$D$44</f>
        <v>2016093.75</v>
      </c>
      <c r="AB44" s="34">
        <f t="shared" ca="1" si="85"/>
        <v>1924778.85</v>
      </c>
      <c r="AC44" s="34">
        <f t="shared" ca="1" si="85"/>
        <v>652781.25</v>
      </c>
      <c r="AD44" s="34">
        <f t="shared" ca="1" si="85"/>
        <v>3758964</v>
      </c>
      <c r="AE44" s="34">
        <f t="shared" ca="1" si="85"/>
        <v>0</v>
      </c>
      <c r="AF44" s="34">
        <f t="shared" ca="1" si="85"/>
        <v>207500</v>
      </c>
      <c r="AG44" s="34">
        <f t="shared" ca="1" si="85"/>
        <v>0</v>
      </c>
      <c r="AI44" s="41"/>
      <c r="AJ44" s="34">
        <f t="shared" ref="AJ44:AK44" ca="1" si="86">+SUM(AJ35:AJ43)*$D$44</f>
        <v>797029.11180000007</v>
      </c>
      <c r="AK44" s="34">
        <f t="shared" ca="1" si="86"/>
        <v>3375652.7088000001</v>
      </c>
      <c r="AL44" s="34">
        <f t="shared" ref="AL44:AR44" ca="1" si="87">+SUM(AL35:AL43)*$D$44</f>
        <v>1321828.2000000002</v>
      </c>
      <c r="AM44" s="34">
        <f t="shared" ca="1" si="87"/>
        <v>1236010.2858</v>
      </c>
      <c r="AN44" s="34">
        <f t="shared" ca="1" si="87"/>
        <v>0</v>
      </c>
      <c r="AO44" s="34">
        <f t="shared" ca="1" si="87"/>
        <v>1286894.169</v>
      </c>
      <c r="AP44" s="34">
        <f t="shared" ca="1" si="87"/>
        <v>0</v>
      </c>
      <c r="AQ44" s="34">
        <f t="shared" ca="1" si="87"/>
        <v>275706</v>
      </c>
      <c r="AR44" s="34">
        <f t="shared" ca="1" si="87"/>
        <v>0</v>
      </c>
      <c r="AT44" s="41"/>
      <c r="AU44" s="34">
        <f t="shared" ref="AU44:AV44" ca="1" si="88">+SUM(AU35:AU43)*$D$44</f>
        <v>985580.31765187625</v>
      </c>
      <c r="AV44" s="34">
        <f t="shared" ca="1" si="88"/>
        <v>4174222.5218197107</v>
      </c>
      <c r="AW44" s="34">
        <f t="shared" ref="AW44:BC44" ca="1" si="89">+SUM(AW35:AW43)*$D$44</f>
        <v>699492.01651560003</v>
      </c>
      <c r="AX44" s="34">
        <f t="shared" ca="1" si="89"/>
        <v>223945.6596361344</v>
      </c>
      <c r="AY44" s="34">
        <f t="shared" ca="1" si="89"/>
        <v>698420.40867719997</v>
      </c>
      <c r="AZ44" s="34">
        <f t="shared" ca="1" si="89"/>
        <v>5470023.2033422794</v>
      </c>
      <c r="BA44" s="34">
        <f t="shared" ca="1" si="89"/>
        <v>1396840.8173543999</v>
      </c>
      <c r="BB44" s="34">
        <f t="shared" ca="1" si="89"/>
        <v>129891.85920000001</v>
      </c>
      <c r="BC44" s="34">
        <f t="shared" ca="1" si="89"/>
        <v>81182.412000000011</v>
      </c>
    </row>
    <row r="45" spans="2:55" x14ac:dyDescent="0.35">
      <c r="B45" s="12" t="s">
        <v>67</v>
      </c>
      <c r="C45" s="12"/>
      <c r="D45" s="12"/>
      <c r="E45" s="12"/>
      <c r="F45" s="106">
        <f t="shared" ca="1" si="64"/>
        <v>171.47544027968078</v>
      </c>
      <c r="G45" s="13">
        <f t="shared" ref="G45:J45" ca="1" si="90">+SUM(G34:G44)</f>
        <v>762870570.19354117</v>
      </c>
      <c r="H45" s="129">
        <f t="shared" ca="1" si="90"/>
        <v>297663456.66999996</v>
      </c>
      <c r="I45" s="129">
        <f t="shared" ca="1" si="90"/>
        <v>174155529.98339999</v>
      </c>
      <c r="J45" s="129">
        <f t="shared" ca="1" si="90"/>
        <v>291051583.54014122</v>
      </c>
      <c r="M45" s="129">
        <f t="shared" ref="M45:N45" ca="1" si="91">+SUM(M34:M44)</f>
        <v>59936505.412562415</v>
      </c>
      <c r="N45" s="129">
        <f t="shared" ca="1" si="91"/>
        <v>253845938.93930596</v>
      </c>
      <c r="O45" s="129">
        <f t="shared" ref="O45:U45" ca="1" si="92">+SUM(O34:O44)</f>
        <v>84808690.807685241</v>
      </c>
      <c r="P45" s="129">
        <f t="shared" ca="1" si="92"/>
        <v>71099012.979959548</v>
      </c>
      <c r="Q45" s="129">
        <f t="shared" ca="1" si="92"/>
        <v>28382681.085097358</v>
      </c>
      <c r="R45" s="129">
        <f t="shared" ca="1" si="92"/>
        <v>220876387.18999952</v>
      </c>
      <c r="S45" s="129">
        <f t="shared" ca="1" si="92"/>
        <v>29333657.164442398</v>
      </c>
      <c r="T45" s="129">
        <f t="shared" ca="1" si="92"/>
        <v>12882865.962488737</v>
      </c>
      <c r="U45" s="129">
        <f t="shared" ca="1" si="92"/>
        <v>1704830.652</v>
      </c>
      <c r="X45" s="34">
        <f ca="1">+SUM(Y45:AG45)</f>
        <v>297663456.67000002</v>
      </c>
      <c r="Y45" s="129">
        <f t="shared" ref="Y45:AG45" ca="1" si="93">+SUM(Y34:Y44)</f>
        <v>22501707.394073021</v>
      </c>
      <c r="Z45" s="129">
        <f t="shared" ca="1" si="93"/>
        <v>95298559.096292078</v>
      </c>
      <c r="AA45" s="129">
        <f t="shared" ca="1" si="93"/>
        <v>42360966.260857649</v>
      </c>
      <c r="AB45" s="129">
        <f t="shared" ca="1" si="93"/>
        <v>40439938.125800736</v>
      </c>
      <c r="AC45" s="129">
        <f t="shared" ca="1" si="93"/>
        <v>13715852.502876159</v>
      </c>
      <c r="AD45" s="129">
        <f t="shared" ca="1" si="93"/>
        <v>78981122.370811626</v>
      </c>
      <c r="AE45" s="129">
        <f t="shared" ca="1" si="93"/>
        <v>0</v>
      </c>
      <c r="AF45" s="129">
        <f t="shared" ca="1" si="93"/>
        <v>4365310.9192887358</v>
      </c>
      <c r="AG45" s="129">
        <f t="shared" ca="1" si="93"/>
        <v>0</v>
      </c>
      <c r="AH45" s="34"/>
      <c r="AI45" s="34">
        <f ca="1">+SUM(AJ45:AR45)</f>
        <v>174155529.98339999</v>
      </c>
      <c r="AJ45" s="129">
        <f t="shared" ref="AJ45:AR45" ca="1" si="94">+SUM(AJ34:AJ44)</f>
        <v>16737611.3478</v>
      </c>
      <c r="AK45" s="129">
        <f t="shared" ca="1" si="94"/>
        <v>70888706.884800002</v>
      </c>
      <c r="AL45" s="129">
        <f t="shared" ca="1" si="94"/>
        <v>27758392.199999999</v>
      </c>
      <c r="AM45" s="129">
        <f t="shared" ca="1" si="94"/>
        <v>25956216.001799997</v>
      </c>
      <c r="AN45" s="129">
        <f t="shared" ca="1" si="94"/>
        <v>0</v>
      </c>
      <c r="AO45" s="129">
        <f t="shared" ca="1" si="94"/>
        <v>27024777.548999999</v>
      </c>
      <c r="AP45" s="129">
        <f t="shared" ca="1" si="94"/>
        <v>0</v>
      </c>
      <c r="AQ45" s="129">
        <f t="shared" ca="1" si="94"/>
        <v>5789826</v>
      </c>
      <c r="AR45" s="129">
        <f t="shared" ca="1" si="94"/>
        <v>0</v>
      </c>
      <c r="AT45" s="34">
        <f ca="1">+SUM(AU45:BC45)</f>
        <v>291051583.54014122</v>
      </c>
      <c r="AU45" s="129">
        <f t="shared" ref="AU45:BC45" ca="1" si="95">+SUM(AU34:AU44)</f>
        <v>20697186.6706894</v>
      </c>
      <c r="AV45" s="129">
        <f t="shared" ca="1" si="95"/>
        <v>87658672.958213925</v>
      </c>
      <c r="AW45" s="129">
        <f t="shared" ca="1" si="95"/>
        <v>14689332.3468276</v>
      </c>
      <c r="AX45" s="129">
        <f t="shared" ca="1" si="95"/>
        <v>4702858.8523588218</v>
      </c>
      <c r="AY45" s="129">
        <f t="shared" ca="1" si="95"/>
        <v>14666828.582221199</v>
      </c>
      <c r="AZ45" s="129">
        <f t="shared" ca="1" si="95"/>
        <v>114870487.27018785</v>
      </c>
      <c r="BA45" s="129">
        <f t="shared" ca="1" si="95"/>
        <v>29333657.164442398</v>
      </c>
      <c r="BB45" s="129">
        <f t="shared" ca="1" si="95"/>
        <v>2727729.0431999997</v>
      </c>
      <c r="BC45" s="129">
        <f t="shared" ca="1" si="95"/>
        <v>1704830.652</v>
      </c>
    </row>
    <row r="46" spans="2:55" x14ac:dyDescent="0.35">
      <c r="B46" s="210" t="s">
        <v>364</v>
      </c>
      <c r="C46" s="210"/>
      <c r="D46" s="210"/>
      <c r="E46" s="210"/>
      <c r="F46" s="210"/>
      <c r="G46" s="210"/>
      <c r="H46" s="210"/>
      <c r="I46" s="210"/>
      <c r="J46" s="210"/>
      <c r="M46" s="210"/>
      <c r="N46" s="210"/>
      <c r="O46" s="210"/>
      <c r="P46" s="210"/>
      <c r="Q46" s="210"/>
      <c r="R46" s="210"/>
      <c r="S46" s="210"/>
      <c r="T46" s="210"/>
      <c r="U46" s="210"/>
      <c r="X46" s="41"/>
      <c r="Y46" s="210"/>
      <c r="Z46" s="210"/>
      <c r="AA46" s="210"/>
      <c r="AB46" s="210"/>
      <c r="AC46" s="210"/>
      <c r="AD46" s="210"/>
      <c r="AE46" s="210"/>
      <c r="AF46" s="210"/>
      <c r="AG46" s="210"/>
      <c r="AI46" s="41"/>
      <c r="AJ46" s="210"/>
      <c r="AK46" s="210"/>
      <c r="AL46" s="210"/>
      <c r="AM46" s="210"/>
      <c r="AN46" s="210"/>
      <c r="AO46" s="210"/>
      <c r="AP46" s="210"/>
      <c r="AQ46" s="210"/>
      <c r="AR46" s="210"/>
      <c r="AT46" s="41"/>
      <c r="AU46" s="210"/>
      <c r="AV46" s="210"/>
      <c r="AW46" s="210"/>
      <c r="AX46" s="210"/>
      <c r="AY46" s="210"/>
      <c r="AZ46" s="210"/>
      <c r="BA46" s="210"/>
      <c r="BB46" s="210"/>
      <c r="BC46" s="210"/>
    </row>
    <row r="47" spans="2:55" s="41" customFormat="1" x14ac:dyDescent="0.35">
      <c r="B47" s="33"/>
      <c r="C47" s="33"/>
      <c r="D47" s="33"/>
      <c r="E47" s="33"/>
      <c r="F47" s="33"/>
      <c r="G47" s="33"/>
      <c r="H47" s="33"/>
      <c r="I47" s="33"/>
      <c r="J47" s="33"/>
      <c r="M47" s="33"/>
      <c r="N47" s="33"/>
      <c r="O47" s="33"/>
      <c r="P47" s="33"/>
      <c r="Q47" s="33"/>
      <c r="R47" s="33"/>
      <c r="S47" s="33"/>
      <c r="T47" s="33"/>
      <c r="U47" s="33"/>
      <c r="Y47" s="33"/>
      <c r="Z47" s="33"/>
      <c r="AA47" s="33"/>
      <c r="AB47" s="33"/>
      <c r="AC47" s="33"/>
      <c r="AD47" s="33"/>
      <c r="AE47" s="33"/>
      <c r="AF47" s="33"/>
      <c r="AG47" s="33"/>
      <c r="AJ47" s="33"/>
      <c r="AK47" s="33"/>
      <c r="AL47" s="33"/>
      <c r="AM47" s="33"/>
      <c r="AN47" s="33"/>
      <c r="AO47" s="33"/>
      <c r="AP47" s="33"/>
      <c r="AQ47" s="33"/>
      <c r="AR47" s="33"/>
      <c r="AU47" s="33"/>
      <c r="AV47" s="33"/>
      <c r="AW47" s="33"/>
      <c r="AX47" s="33"/>
      <c r="AY47" s="33"/>
      <c r="AZ47" s="33"/>
      <c r="BA47" s="33"/>
      <c r="BB47" s="33"/>
      <c r="BC47" s="33"/>
    </row>
    <row r="48" spans="2:55" ht="32.25" customHeight="1" x14ac:dyDescent="0.35">
      <c r="B48" s="15" t="s">
        <v>58</v>
      </c>
      <c r="C48" s="16"/>
      <c r="D48" s="16"/>
      <c r="E48" s="199" t="s">
        <v>365</v>
      </c>
      <c r="F48" s="16"/>
      <c r="G48" s="15" t="s">
        <v>17</v>
      </c>
      <c r="H48" s="23" t="str">
        <f>+H$22</f>
        <v>I</v>
      </c>
      <c r="I48" s="23" t="str">
        <f t="shared" ref="I48:J48" si="96">+I$22</f>
        <v>II</v>
      </c>
      <c r="J48" s="46" t="str">
        <f t="shared" si="96"/>
        <v>III</v>
      </c>
      <c r="M48" s="214" t="str">
        <f t="shared" ref="M48:U48" ca="1" si="97">+M$22</f>
        <v>Affordable Residential</v>
      </c>
      <c r="N48" s="214" t="str">
        <f t="shared" ca="1" si="97"/>
        <v>Market Rate Residential</v>
      </c>
      <c r="O48" s="214" t="str">
        <f t="shared" ca="1" si="97"/>
        <v>Retail</v>
      </c>
      <c r="P48" s="214" t="str">
        <f t="shared" ca="1" si="97"/>
        <v>Hotel</v>
      </c>
      <c r="Q48" s="214" t="str">
        <f t="shared" ca="1" si="97"/>
        <v>Community Facility</v>
      </c>
      <c r="R48" s="214" t="str">
        <f t="shared" ca="1" si="97"/>
        <v>Office</v>
      </c>
      <c r="S48" s="214" t="str">
        <f t="shared" ca="1" si="97"/>
        <v>Industrial</v>
      </c>
      <c r="T48" s="214" t="str">
        <f t="shared" ca="1" si="97"/>
        <v>Structural Parking</v>
      </c>
      <c r="U48" s="214" t="str">
        <f t="shared" ca="1" si="97"/>
        <v>Surface Parking</v>
      </c>
      <c r="X48" s="41"/>
      <c r="Y48" s="214" t="str">
        <f t="shared" ref="Y48:AG48" ca="1" si="98">+Y$22</f>
        <v>Affordable Residential</v>
      </c>
      <c r="Z48" s="214" t="str">
        <f t="shared" ca="1" si="98"/>
        <v>Market Rate Residential</v>
      </c>
      <c r="AA48" s="214" t="str">
        <f t="shared" ca="1" si="98"/>
        <v>Retail</v>
      </c>
      <c r="AB48" s="214" t="str">
        <f t="shared" ca="1" si="98"/>
        <v>Hotel</v>
      </c>
      <c r="AC48" s="214" t="str">
        <f t="shared" ca="1" si="98"/>
        <v>Community Facility</v>
      </c>
      <c r="AD48" s="214" t="str">
        <f t="shared" ca="1" si="98"/>
        <v>Office</v>
      </c>
      <c r="AE48" s="214" t="str">
        <f t="shared" ca="1" si="98"/>
        <v>Industrial</v>
      </c>
      <c r="AF48" s="214" t="str">
        <f t="shared" ca="1" si="98"/>
        <v>Structural Parking</v>
      </c>
      <c r="AG48" s="214" t="str">
        <f t="shared" ca="1" si="98"/>
        <v>Surface Parking</v>
      </c>
      <c r="AI48" s="41"/>
      <c r="AJ48" s="214" t="str">
        <f t="shared" ref="AJ48:AR48" ca="1" si="99">+AJ$22</f>
        <v>Affordable Residential</v>
      </c>
      <c r="AK48" s="214" t="str">
        <f t="shared" ca="1" si="99"/>
        <v>Market Rate Residential</v>
      </c>
      <c r="AL48" s="214" t="str">
        <f t="shared" ca="1" si="99"/>
        <v>Retail</v>
      </c>
      <c r="AM48" s="214" t="str">
        <f t="shared" ca="1" si="99"/>
        <v>Hotel</v>
      </c>
      <c r="AN48" s="214" t="str">
        <f t="shared" ca="1" si="99"/>
        <v>Community Facility</v>
      </c>
      <c r="AO48" s="214" t="str">
        <f t="shared" ca="1" si="99"/>
        <v>Office</v>
      </c>
      <c r="AP48" s="214" t="str">
        <f t="shared" ca="1" si="99"/>
        <v>Industrial</v>
      </c>
      <c r="AQ48" s="214" t="str">
        <f t="shared" ca="1" si="99"/>
        <v>Structural Parking</v>
      </c>
      <c r="AR48" s="214" t="str">
        <f t="shared" ca="1" si="99"/>
        <v>Surface Parking</v>
      </c>
      <c r="AT48" s="41"/>
      <c r="AU48" s="214" t="str">
        <f t="shared" ref="AU48:BC48" ca="1" si="100">+AU$22</f>
        <v>Affordable Residential</v>
      </c>
      <c r="AV48" s="214" t="str">
        <f t="shared" ca="1" si="100"/>
        <v>Market Rate Residential</v>
      </c>
      <c r="AW48" s="214" t="str">
        <f t="shared" ca="1" si="100"/>
        <v>Retail</v>
      </c>
      <c r="AX48" s="214" t="str">
        <f t="shared" ca="1" si="100"/>
        <v>Hotel</v>
      </c>
      <c r="AY48" s="214" t="str">
        <f t="shared" ca="1" si="100"/>
        <v>Community Facility</v>
      </c>
      <c r="AZ48" s="214" t="str">
        <f t="shared" ca="1" si="100"/>
        <v>Office</v>
      </c>
      <c r="BA48" s="214" t="str">
        <f t="shared" ca="1" si="100"/>
        <v>Industrial</v>
      </c>
      <c r="BB48" s="214" t="str">
        <f t="shared" ca="1" si="100"/>
        <v>Structural Parking</v>
      </c>
      <c r="BC48" s="214" t="str">
        <f t="shared" ca="1" si="100"/>
        <v>Surface Parking</v>
      </c>
    </row>
    <row r="49" spans="1:55" x14ac:dyDescent="0.35">
      <c r="A49" s="116"/>
      <c r="B49" s="9" t="s">
        <v>68</v>
      </c>
      <c r="C49" s="9"/>
      <c r="D49" s="107">
        <v>0.05</v>
      </c>
      <c r="E49" s="22">
        <v>0.7</v>
      </c>
      <c r="F49" s="105">
        <f t="shared" ref="F49:F64" ca="1" si="101">+G49/$G$10</f>
        <v>8.1637845726833511</v>
      </c>
      <c r="G49" s="43">
        <f ca="1">+D49*SUM(G35:G43)</f>
        <v>36319550.961597197</v>
      </c>
      <c r="H49" s="11">
        <f t="shared" ref="H49:J54" ca="1" si="102">+$G49*H$20</f>
        <v>13879935.909923071</v>
      </c>
      <c r="I49" s="11">
        <f t="shared" ca="1" si="102"/>
        <v>8073974.7785992604</v>
      </c>
      <c r="J49" s="11">
        <f t="shared" ca="1" si="102"/>
        <v>14365640.273074867</v>
      </c>
      <c r="M49" s="39">
        <f t="shared" ref="M49:U63" ca="1" si="103">+$H49*M$5+$I49*M$6+$J49*M$7</f>
        <v>2638870.0124225952</v>
      </c>
      <c r="N49" s="39">
        <f t="shared" ca="1" si="103"/>
        <v>10555480.049690381</v>
      </c>
      <c r="O49" s="39">
        <f t="shared" ca="1" si="103"/>
        <v>3891716.9247210165</v>
      </c>
      <c r="P49" s="39">
        <f t="shared" ca="1" si="103"/>
        <v>2929858.3024610109</v>
      </c>
      <c r="Q49" s="39">
        <f t="shared" ca="1" si="103"/>
        <v>1284449.045743135</v>
      </c>
      <c r="R49" s="39">
        <f t="shared" ca="1" si="103"/>
        <v>9944323.2226419076</v>
      </c>
      <c r="S49" s="39">
        <f t="shared" ca="1" si="103"/>
        <v>1915468.7742886946</v>
      </c>
      <c r="T49" s="39">
        <f t="shared" ca="1" si="103"/>
        <v>1934816.943725954</v>
      </c>
      <c r="U49" s="39">
        <f t="shared" ca="1" si="103"/>
        <v>1224567.6859025029</v>
      </c>
      <c r="X49" s="41"/>
      <c r="Y49" s="39">
        <f t="shared" ref="Y49:AG63" ca="1" si="104">+$H49*Y$5+$I49*Y$6+$J49*Y$7</f>
        <v>1028584.2813854542</v>
      </c>
      <c r="Z49" s="39">
        <f t="shared" ca="1" si="104"/>
        <v>4114337.1255418169</v>
      </c>
      <c r="AA49" s="39">
        <f t="shared" ca="1" si="104"/>
        <v>1995024.8549494941</v>
      </c>
      <c r="AB49" s="39">
        <f t="shared" ca="1" si="104"/>
        <v>1698754.5817791573</v>
      </c>
      <c r="AC49" s="39">
        <f t="shared" ca="1" si="104"/>
        <v>645959.45431357017</v>
      </c>
      <c r="AD49" s="39">
        <f t="shared" ca="1" si="104"/>
        <v>3719681.4924208606</v>
      </c>
      <c r="AE49" s="39">
        <f t="shared" ca="1" si="104"/>
        <v>0</v>
      </c>
      <c r="AF49" s="39">
        <f t="shared" ca="1" si="104"/>
        <v>677594.11953271809</v>
      </c>
      <c r="AG49" s="39">
        <f t="shared" ca="1" si="104"/>
        <v>0</v>
      </c>
      <c r="AI49" s="41"/>
      <c r="AJ49" s="39">
        <f t="shared" ref="AJ49:AR63" ca="1" si="105">+$H49*AJ$5+$I49*AJ$6+$J49*AJ$7</f>
        <v>735777.41218223225</v>
      </c>
      <c r="AK49" s="39">
        <f t="shared" ca="1" si="105"/>
        <v>2943109.648728929</v>
      </c>
      <c r="AL49" s="39">
        <f t="shared" ca="1" si="105"/>
        <v>1257222.8241932357</v>
      </c>
      <c r="AM49" s="39">
        <f t="shared" ca="1" si="105"/>
        <v>1048507.5078080135</v>
      </c>
      <c r="AN49" s="39">
        <f t="shared" ca="1" si="105"/>
        <v>0</v>
      </c>
      <c r="AO49" s="39">
        <f t="shared" ca="1" si="105"/>
        <v>1223996.2209824147</v>
      </c>
      <c r="AP49" s="39">
        <f t="shared" ca="1" si="105"/>
        <v>0</v>
      </c>
      <c r="AQ49" s="39">
        <f t="shared" ca="1" si="105"/>
        <v>865361.16470443504</v>
      </c>
      <c r="AR49" s="39">
        <f t="shared" ca="1" si="105"/>
        <v>0</v>
      </c>
      <c r="AT49" s="41"/>
      <c r="AU49" s="39">
        <f t="shared" ref="AU49:BC63" ca="1" si="106">+$H49*AU$5+$I49*AU$6+$J49*AU$7</f>
        <v>874508.31885490869</v>
      </c>
      <c r="AV49" s="39">
        <f t="shared" ca="1" si="106"/>
        <v>3498033.2754196348</v>
      </c>
      <c r="AW49" s="39">
        <f t="shared" ca="1" si="106"/>
        <v>639469.24557828682</v>
      </c>
      <c r="AX49" s="39">
        <f t="shared" ca="1" si="106"/>
        <v>182596.21287384041</v>
      </c>
      <c r="AY49" s="39">
        <f t="shared" ca="1" si="106"/>
        <v>638489.59142956487</v>
      </c>
      <c r="AZ49" s="39">
        <f t="shared" ca="1" si="106"/>
        <v>5000645.5092386333</v>
      </c>
      <c r="BA49" s="39">
        <f t="shared" ca="1" si="106"/>
        <v>1915468.7742886946</v>
      </c>
      <c r="BB49" s="39">
        <f t="shared" ca="1" si="106"/>
        <v>391861.65948880085</v>
      </c>
      <c r="BC49" s="39">
        <f t="shared" ca="1" si="106"/>
        <v>1224567.6859025029</v>
      </c>
    </row>
    <row r="50" spans="1:55" x14ac:dyDescent="0.35">
      <c r="A50" s="116"/>
      <c r="B50" s="9" t="s">
        <v>69</v>
      </c>
      <c r="C50" s="9"/>
      <c r="D50" s="9"/>
      <c r="E50" s="22">
        <v>0.75</v>
      </c>
      <c r="F50" s="105">
        <f t="shared" ca="1" si="101"/>
        <v>1.5358288053901166</v>
      </c>
      <c r="G50" s="27">
        <f ca="1">753+8.19*(G45+G31)/1000</f>
        <v>6832690.4108054852</v>
      </c>
      <c r="H50" s="11">
        <f t="shared" ca="1" si="102"/>
        <v>2611191.5616633901</v>
      </c>
      <c r="I50" s="11">
        <f t="shared" ca="1" si="102"/>
        <v>1518933.15270202</v>
      </c>
      <c r="J50" s="11">
        <f t="shared" ca="1" si="102"/>
        <v>2702565.6964400751</v>
      </c>
      <c r="M50" s="39">
        <f t="shared" ca="1" si="103"/>
        <v>496442.86209118646</v>
      </c>
      <c r="N50" s="39">
        <f t="shared" ca="1" si="103"/>
        <v>1985771.4483647458</v>
      </c>
      <c r="O50" s="39">
        <f t="shared" ca="1" si="103"/>
        <v>732137.27067349548</v>
      </c>
      <c r="P50" s="39">
        <f t="shared" ca="1" si="103"/>
        <v>551185.63413438841</v>
      </c>
      <c r="Q50" s="39">
        <f t="shared" ca="1" si="103"/>
        <v>241639.62509605399</v>
      </c>
      <c r="R50" s="39">
        <f t="shared" ca="1" si="103"/>
        <v>1870796.3101509567</v>
      </c>
      <c r="S50" s="39">
        <f t="shared" ca="1" si="103"/>
        <v>360351.51260868303</v>
      </c>
      <c r="T50" s="39">
        <f t="shared" ca="1" si="103"/>
        <v>363991.42687745765</v>
      </c>
      <c r="U50" s="39">
        <f t="shared" ca="1" si="103"/>
        <v>230374.32080851751</v>
      </c>
      <c r="X50" s="41"/>
      <c r="Y50" s="39">
        <f t="shared" ca="1" si="104"/>
        <v>193504.53874164799</v>
      </c>
      <c r="Z50" s="39">
        <f t="shared" ca="1" si="104"/>
        <v>774018.15496659197</v>
      </c>
      <c r="AA50" s="39">
        <f t="shared" ca="1" si="104"/>
        <v>375318.16431720974</v>
      </c>
      <c r="AB50" s="39">
        <f t="shared" ca="1" si="104"/>
        <v>319581.70830655814</v>
      </c>
      <c r="AC50" s="39">
        <f t="shared" ca="1" si="104"/>
        <v>121522.45422649298</v>
      </c>
      <c r="AD50" s="39">
        <f t="shared" ca="1" si="104"/>
        <v>699772.75025750964</v>
      </c>
      <c r="AE50" s="39">
        <f t="shared" ca="1" si="104"/>
        <v>0</v>
      </c>
      <c r="AF50" s="39">
        <f t="shared" ca="1" si="104"/>
        <v>127473.79084737967</v>
      </c>
      <c r="AG50" s="39">
        <f t="shared" ca="1" si="104"/>
        <v>0</v>
      </c>
      <c r="AI50" s="41"/>
      <c r="AJ50" s="39">
        <f t="shared" ca="1" si="105"/>
        <v>138419.64274339506</v>
      </c>
      <c r="AK50" s="39">
        <f t="shared" ca="1" si="105"/>
        <v>553678.57097358024</v>
      </c>
      <c r="AL50" s="39">
        <f t="shared" ca="1" si="105"/>
        <v>236517.63603007796</v>
      </c>
      <c r="AM50" s="39">
        <f t="shared" ca="1" si="105"/>
        <v>197252.63679147427</v>
      </c>
      <c r="AN50" s="39">
        <f t="shared" ca="1" si="105"/>
        <v>0</v>
      </c>
      <c r="AO50" s="39">
        <f t="shared" ca="1" si="105"/>
        <v>230266.8127921402</v>
      </c>
      <c r="AP50" s="39">
        <f t="shared" ca="1" si="105"/>
        <v>0</v>
      </c>
      <c r="AQ50" s="39">
        <f t="shared" ca="1" si="105"/>
        <v>162797.85337135236</v>
      </c>
      <c r="AR50" s="39">
        <f t="shared" ca="1" si="105"/>
        <v>0</v>
      </c>
      <c r="AT50" s="41"/>
      <c r="AU50" s="39">
        <f t="shared" ca="1" si="106"/>
        <v>164518.68060614346</v>
      </c>
      <c r="AV50" s="39">
        <f t="shared" ca="1" si="106"/>
        <v>658074.72242457385</v>
      </c>
      <c r="AW50" s="39">
        <f t="shared" ca="1" si="106"/>
        <v>120301.47032620783</v>
      </c>
      <c r="AX50" s="39">
        <f t="shared" ca="1" si="106"/>
        <v>34351.289036355985</v>
      </c>
      <c r="AY50" s="39">
        <f t="shared" ca="1" si="106"/>
        <v>120117.17086956101</v>
      </c>
      <c r="AZ50" s="39">
        <f t="shared" ca="1" si="106"/>
        <v>940756.74710130692</v>
      </c>
      <c r="BA50" s="39">
        <f t="shared" ca="1" si="106"/>
        <v>360351.51260868303</v>
      </c>
      <c r="BB50" s="39">
        <f t="shared" ca="1" si="106"/>
        <v>73719.782658725599</v>
      </c>
      <c r="BC50" s="39">
        <f t="shared" ca="1" si="106"/>
        <v>230374.32080851751</v>
      </c>
    </row>
    <row r="51" spans="1:55" x14ac:dyDescent="0.35">
      <c r="B51" s="9" t="s">
        <v>70</v>
      </c>
      <c r="C51" s="9"/>
      <c r="D51" s="9"/>
      <c r="E51" s="22">
        <v>1</v>
      </c>
      <c r="F51" s="105">
        <f t="shared" ca="1" si="101"/>
        <v>6.7432974994504208E-2</v>
      </c>
      <c r="G51" s="26">
        <v>300000</v>
      </c>
      <c r="H51" s="11">
        <f t="shared" ca="1" si="102"/>
        <v>114648.46515805616</v>
      </c>
      <c r="I51" s="11">
        <f t="shared" ca="1" si="102"/>
        <v>66691.144836589665</v>
      </c>
      <c r="J51" s="11">
        <f t="shared" ca="1" si="102"/>
        <v>118660.39000535419</v>
      </c>
      <c r="M51" s="39">
        <f t="shared" ca="1" si="103"/>
        <v>21797.103289185718</v>
      </c>
      <c r="N51" s="39">
        <f t="shared" ca="1" si="103"/>
        <v>87188.41315674287</v>
      </c>
      <c r="O51" s="39">
        <f t="shared" ca="1" si="103"/>
        <v>32145.636344755134</v>
      </c>
      <c r="P51" s="39">
        <f t="shared" ca="1" si="103"/>
        <v>24200.670643413981</v>
      </c>
      <c r="Q51" s="39">
        <f t="shared" ca="1" si="103"/>
        <v>10609.567120760321</v>
      </c>
      <c r="R51" s="39">
        <f t="shared" ca="1" si="103"/>
        <v>82140.249199308339</v>
      </c>
      <c r="S51" s="39">
        <f t="shared" ca="1" si="103"/>
        <v>15821.798922960525</v>
      </c>
      <c r="T51" s="39">
        <f t="shared" ca="1" si="103"/>
        <v>15981.615073697498</v>
      </c>
      <c r="U51" s="39">
        <f t="shared" ca="1" si="103"/>
        <v>10114.946249175633</v>
      </c>
      <c r="X51" s="41"/>
      <c r="Y51" s="39">
        <f t="shared" ca="1" si="104"/>
        <v>8496.1205809485673</v>
      </c>
      <c r="Z51" s="39">
        <f t="shared" ca="1" si="104"/>
        <v>33984.482323794269</v>
      </c>
      <c r="AA51" s="39">
        <f t="shared" ca="1" si="104"/>
        <v>16478.933264281968</v>
      </c>
      <c r="AB51" s="39">
        <f t="shared" ca="1" si="104"/>
        <v>14031.736655351417</v>
      </c>
      <c r="AC51" s="39">
        <f t="shared" ca="1" si="104"/>
        <v>5335.6341464401467</v>
      </c>
      <c r="AD51" s="39">
        <f t="shared" ca="1" si="104"/>
        <v>30724.621262695946</v>
      </c>
      <c r="AE51" s="39">
        <f t="shared" ca="1" si="104"/>
        <v>0</v>
      </c>
      <c r="AF51" s="39">
        <f t="shared" ca="1" si="104"/>
        <v>5596.9369245438502</v>
      </c>
      <c r="AG51" s="39">
        <f t="shared" ca="1" si="104"/>
        <v>0</v>
      </c>
      <c r="AI51" s="41"/>
      <c r="AJ51" s="39">
        <f t="shared" ca="1" si="105"/>
        <v>6077.5317373296803</v>
      </c>
      <c r="AK51" s="39">
        <f t="shared" ca="1" si="105"/>
        <v>24310.126949318721</v>
      </c>
      <c r="AL51" s="39">
        <f t="shared" ca="1" si="105"/>
        <v>10384.678149153648</v>
      </c>
      <c r="AM51" s="39">
        <f t="shared" ca="1" si="105"/>
        <v>8660.6867104441535</v>
      </c>
      <c r="AN51" s="39">
        <f t="shared" ca="1" si="105"/>
        <v>0</v>
      </c>
      <c r="AO51" s="39">
        <f t="shared" ca="1" si="105"/>
        <v>10110.225940926015</v>
      </c>
      <c r="AP51" s="39">
        <f t="shared" ca="1" si="105"/>
        <v>0</v>
      </c>
      <c r="AQ51" s="39">
        <f t="shared" ca="1" si="105"/>
        <v>7147.8953494174457</v>
      </c>
      <c r="AR51" s="39">
        <f t="shared" ca="1" si="105"/>
        <v>0</v>
      </c>
      <c r="AT51" s="41"/>
      <c r="AU51" s="39">
        <f t="shared" ca="1" si="106"/>
        <v>7223.4509709074691</v>
      </c>
      <c r="AV51" s="39">
        <f t="shared" ca="1" si="106"/>
        <v>28893.803883629877</v>
      </c>
      <c r="AW51" s="39">
        <f t="shared" ca="1" si="106"/>
        <v>5282.0249313195154</v>
      </c>
      <c r="AX51" s="39">
        <f t="shared" ca="1" si="106"/>
        <v>1508.2472776184113</v>
      </c>
      <c r="AY51" s="39">
        <f t="shared" ca="1" si="106"/>
        <v>5273.9329743201743</v>
      </c>
      <c r="AZ51" s="39">
        <f t="shared" ca="1" si="106"/>
        <v>41305.401995686378</v>
      </c>
      <c r="BA51" s="39">
        <f t="shared" ca="1" si="106"/>
        <v>15821.798922960525</v>
      </c>
      <c r="BB51" s="39">
        <f t="shared" ca="1" si="106"/>
        <v>3236.7827997362024</v>
      </c>
      <c r="BC51" s="39">
        <f t="shared" ca="1" si="106"/>
        <v>10114.946249175633</v>
      </c>
    </row>
    <row r="52" spans="1:55" x14ac:dyDescent="0.35">
      <c r="B52" s="9" t="s">
        <v>71</v>
      </c>
      <c r="C52" s="9"/>
      <c r="D52" s="9"/>
      <c r="E52" s="22">
        <v>0</v>
      </c>
      <c r="F52" s="105">
        <f t="shared" ca="1" si="101"/>
        <v>0.4045978499670253</v>
      </c>
      <c r="G52" s="26">
        <v>1800000</v>
      </c>
      <c r="H52" s="11">
        <f t="shared" ca="1" si="102"/>
        <v>687890.79094833694</v>
      </c>
      <c r="I52" s="11">
        <f t="shared" ca="1" si="102"/>
        <v>400146.86901953799</v>
      </c>
      <c r="J52" s="11">
        <f t="shared" ca="1" si="102"/>
        <v>711962.34003212512</v>
      </c>
      <c r="M52" s="39">
        <f t="shared" ca="1" si="103"/>
        <v>130782.61973511431</v>
      </c>
      <c r="N52" s="39">
        <f t="shared" ca="1" si="103"/>
        <v>523130.47894045722</v>
      </c>
      <c r="O52" s="39">
        <f t="shared" ca="1" si="103"/>
        <v>192873.81806853079</v>
      </c>
      <c r="P52" s="39">
        <f t="shared" ca="1" si="103"/>
        <v>145204.02386048387</v>
      </c>
      <c r="Q52" s="39">
        <f t="shared" ca="1" si="103"/>
        <v>63657.402724561922</v>
      </c>
      <c r="R52" s="39">
        <f t="shared" ca="1" si="103"/>
        <v>492841.49519585003</v>
      </c>
      <c r="S52" s="39">
        <f t="shared" ca="1" si="103"/>
        <v>94930.793537763137</v>
      </c>
      <c r="T52" s="39">
        <f t="shared" ca="1" si="103"/>
        <v>95889.690442185005</v>
      </c>
      <c r="U52" s="39">
        <f t="shared" ca="1" si="103"/>
        <v>60689.677495053795</v>
      </c>
      <c r="X52" s="41"/>
      <c r="Y52" s="39">
        <f t="shared" ca="1" si="104"/>
        <v>50976.7234856914</v>
      </c>
      <c r="Z52" s="39">
        <f t="shared" ca="1" si="104"/>
        <v>203906.8939427656</v>
      </c>
      <c r="AA52" s="39">
        <f t="shared" ca="1" si="104"/>
        <v>98873.599585691816</v>
      </c>
      <c r="AB52" s="39">
        <f t="shared" ca="1" si="104"/>
        <v>84190.419932108489</v>
      </c>
      <c r="AC52" s="39">
        <f t="shared" ca="1" si="104"/>
        <v>32013.804878640876</v>
      </c>
      <c r="AD52" s="39">
        <f t="shared" ca="1" si="104"/>
        <v>184347.72757617568</v>
      </c>
      <c r="AE52" s="39">
        <f t="shared" ca="1" si="104"/>
        <v>0</v>
      </c>
      <c r="AF52" s="39">
        <f t="shared" ca="1" si="104"/>
        <v>33581.621547263101</v>
      </c>
      <c r="AG52" s="39">
        <f t="shared" ca="1" si="104"/>
        <v>0</v>
      </c>
      <c r="AI52" s="41"/>
      <c r="AJ52" s="39">
        <f t="shared" ca="1" si="105"/>
        <v>36465.190423978085</v>
      </c>
      <c r="AK52" s="39">
        <f t="shared" ca="1" si="105"/>
        <v>145860.76169591234</v>
      </c>
      <c r="AL52" s="39">
        <f t="shared" ca="1" si="105"/>
        <v>62308.068894921882</v>
      </c>
      <c r="AM52" s="39">
        <f t="shared" ca="1" si="105"/>
        <v>51964.120262664925</v>
      </c>
      <c r="AN52" s="39">
        <f t="shared" ca="1" si="105"/>
        <v>0</v>
      </c>
      <c r="AO52" s="39">
        <f t="shared" ca="1" si="105"/>
        <v>60661.355645556097</v>
      </c>
      <c r="AP52" s="39">
        <f t="shared" ca="1" si="105"/>
        <v>0</v>
      </c>
      <c r="AQ52" s="39">
        <f t="shared" ca="1" si="105"/>
        <v>42887.372096504674</v>
      </c>
      <c r="AR52" s="39">
        <f t="shared" ca="1" si="105"/>
        <v>0</v>
      </c>
      <c r="AT52" s="41"/>
      <c r="AU52" s="39">
        <f t="shared" ca="1" si="106"/>
        <v>43340.70582544482</v>
      </c>
      <c r="AV52" s="39">
        <f t="shared" ca="1" si="106"/>
        <v>173362.82330177928</v>
      </c>
      <c r="AW52" s="39">
        <f t="shared" ca="1" si="106"/>
        <v>31692.149587917091</v>
      </c>
      <c r="AX52" s="39">
        <f t="shared" ca="1" si="106"/>
        <v>9049.4836657104679</v>
      </c>
      <c r="AY52" s="39">
        <f t="shared" ca="1" si="106"/>
        <v>31643.597845921049</v>
      </c>
      <c r="AZ52" s="39">
        <f t="shared" ca="1" si="106"/>
        <v>247832.41197411829</v>
      </c>
      <c r="BA52" s="39">
        <f t="shared" ca="1" si="106"/>
        <v>94930.793537763137</v>
      </c>
      <c r="BB52" s="39">
        <f t="shared" ca="1" si="106"/>
        <v>19420.696798417215</v>
      </c>
      <c r="BC52" s="39">
        <f t="shared" ca="1" si="106"/>
        <v>60689.677495053795</v>
      </c>
    </row>
    <row r="53" spans="1:55" x14ac:dyDescent="0.35">
      <c r="B53" s="9" t="s">
        <v>72</v>
      </c>
      <c r="C53" s="9"/>
      <c r="D53" s="9"/>
      <c r="E53" s="22">
        <v>0.5</v>
      </c>
      <c r="F53" s="105">
        <f t="shared" ca="1" si="101"/>
        <v>0.22477658331501404</v>
      </c>
      <c r="G53" s="26">
        <v>1000000</v>
      </c>
      <c r="H53" s="11">
        <f t="shared" ca="1" si="102"/>
        <v>382161.55052685388</v>
      </c>
      <c r="I53" s="11">
        <f t="shared" ca="1" si="102"/>
        <v>222303.81612196556</v>
      </c>
      <c r="J53" s="11">
        <f t="shared" ca="1" si="102"/>
        <v>395534.63335118059</v>
      </c>
      <c r="M53" s="39">
        <f t="shared" ca="1" si="103"/>
        <v>72657.010963952387</v>
      </c>
      <c r="N53" s="39">
        <f t="shared" ca="1" si="103"/>
        <v>290628.04385580955</v>
      </c>
      <c r="O53" s="39">
        <f t="shared" ca="1" si="103"/>
        <v>107152.12114918377</v>
      </c>
      <c r="P53" s="39">
        <f t="shared" ca="1" si="103"/>
        <v>80668.902144713269</v>
      </c>
      <c r="Q53" s="39">
        <f t="shared" ca="1" si="103"/>
        <v>35365.223735867738</v>
      </c>
      <c r="R53" s="39">
        <f t="shared" ca="1" si="103"/>
        <v>273800.83066436113</v>
      </c>
      <c r="S53" s="39">
        <f t="shared" ca="1" si="103"/>
        <v>52739.329743201743</v>
      </c>
      <c r="T53" s="39">
        <f t="shared" ca="1" si="103"/>
        <v>53272.05024565832</v>
      </c>
      <c r="U53" s="39">
        <f t="shared" ca="1" si="103"/>
        <v>33716.487497252107</v>
      </c>
      <c r="X53" s="41"/>
      <c r="Y53" s="39">
        <f t="shared" ca="1" si="104"/>
        <v>28320.401936495226</v>
      </c>
      <c r="Z53" s="39">
        <f t="shared" ca="1" si="104"/>
        <v>113281.6077459809</v>
      </c>
      <c r="AA53" s="39">
        <f t="shared" ca="1" si="104"/>
        <v>54929.777547606565</v>
      </c>
      <c r="AB53" s="39">
        <f t="shared" ca="1" si="104"/>
        <v>46772.455517838054</v>
      </c>
      <c r="AC53" s="39">
        <f t="shared" ca="1" si="104"/>
        <v>17785.447154800488</v>
      </c>
      <c r="AD53" s="39">
        <f t="shared" ca="1" si="104"/>
        <v>102415.4042089865</v>
      </c>
      <c r="AE53" s="39">
        <f t="shared" ca="1" si="104"/>
        <v>0</v>
      </c>
      <c r="AF53" s="39">
        <f t="shared" ca="1" si="104"/>
        <v>18656.456415146167</v>
      </c>
      <c r="AG53" s="39">
        <f t="shared" ca="1" si="104"/>
        <v>0</v>
      </c>
      <c r="AI53" s="41"/>
      <c r="AJ53" s="39">
        <f t="shared" ca="1" si="105"/>
        <v>20258.439124432269</v>
      </c>
      <c r="AK53" s="39">
        <f t="shared" ca="1" si="105"/>
        <v>81033.756497729075</v>
      </c>
      <c r="AL53" s="39">
        <f t="shared" ca="1" si="105"/>
        <v>34615.59383051216</v>
      </c>
      <c r="AM53" s="39">
        <f t="shared" ca="1" si="105"/>
        <v>28868.955701480514</v>
      </c>
      <c r="AN53" s="39">
        <f t="shared" ca="1" si="105"/>
        <v>0</v>
      </c>
      <c r="AO53" s="39">
        <f t="shared" ca="1" si="105"/>
        <v>33700.753136420055</v>
      </c>
      <c r="AP53" s="39">
        <f t="shared" ca="1" si="105"/>
        <v>0</v>
      </c>
      <c r="AQ53" s="39">
        <f t="shared" ca="1" si="105"/>
        <v>23826.317831391487</v>
      </c>
      <c r="AR53" s="39">
        <f t="shared" ca="1" si="105"/>
        <v>0</v>
      </c>
      <c r="AT53" s="41"/>
      <c r="AU53" s="39">
        <f t="shared" ca="1" si="106"/>
        <v>24078.169903024896</v>
      </c>
      <c r="AV53" s="39">
        <f t="shared" ca="1" si="106"/>
        <v>96312.679612099586</v>
      </c>
      <c r="AW53" s="39">
        <f t="shared" ca="1" si="106"/>
        <v>17606.74977106505</v>
      </c>
      <c r="AX53" s="39">
        <f t="shared" ca="1" si="106"/>
        <v>5027.4909253947035</v>
      </c>
      <c r="AY53" s="39">
        <f t="shared" ca="1" si="106"/>
        <v>17579.776581067246</v>
      </c>
      <c r="AZ53" s="39">
        <f t="shared" ca="1" si="106"/>
        <v>137684.67331895459</v>
      </c>
      <c r="BA53" s="39">
        <f t="shared" ca="1" si="106"/>
        <v>52739.329743201743</v>
      </c>
      <c r="BB53" s="39">
        <f t="shared" ca="1" si="106"/>
        <v>10789.275999120673</v>
      </c>
      <c r="BC53" s="39">
        <f t="shared" ca="1" si="106"/>
        <v>33716.487497252107</v>
      </c>
    </row>
    <row r="54" spans="1:55" x14ac:dyDescent="0.35">
      <c r="B54" s="9" t="s">
        <v>73</v>
      </c>
      <c r="C54" s="9"/>
      <c r="D54" s="9"/>
      <c r="E54" s="22">
        <v>0</v>
      </c>
      <c r="F54" s="105">
        <f t="shared" ca="1" si="101"/>
        <v>0.11238829165750702</v>
      </c>
      <c r="G54" s="200">
        <v>500000</v>
      </c>
      <c r="H54" s="11">
        <f t="shared" ca="1" si="102"/>
        <v>191080.77526342694</v>
      </c>
      <c r="I54" s="11">
        <f t="shared" ca="1" si="102"/>
        <v>111151.90806098278</v>
      </c>
      <c r="J54" s="11">
        <f t="shared" ca="1" si="102"/>
        <v>197767.31667559029</v>
      </c>
      <c r="K54" s="28"/>
      <c r="L54" s="28"/>
      <c r="M54" s="39">
        <f t="shared" ca="1" si="103"/>
        <v>36328.505481976194</v>
      </c>
      <c r="N54" s="39">
        <f t="shared" ca="1" si="103"/>
        <v>145314.02192790477</v>
      </c>
      <c r="O54" s="39">
        <f t="shared" ca="1" si="103"/>
        <v>53576.060574591887</v>
      </c>
      <c r="P54" s="39">
        <f t="shared" ca="1" si="103"/>
        <v>40334.451072356635</v>
      </c>
      <c r="Q54" s="39">
        <f t="shared" ca="1" si="103"/>
        <v>17682.611867933869</v>
      </c>
      <c r="R54" s="39">
        <f t="shared" ca="1" si="103"/>
        <v>136900.41533218056</v>
      </c>
      <c r="S54" s="39">
        <f t="shared" ca="1" si="103"/>
        <v>26369.664871600871</v>
      </c>
      <c r="T54" s="39">
        <f t="shared" ca="1" si="103"/>
        <v>26636.02512282916</v>
      </c>
      <c r="U54" s="39">
        <f t="shared" ca="1" si="103"/>
        <v>16858.243748626053</v>
      </c>
      <c r="X54" s="28"/>
      <c r="Y54" s="39">
        <f t="shared" ca="1" si="104"/>
        <v>14160.200968247613</v>
      </c>
      <c r="Z54" s="39">
        <f t="shared" ca="1" si="104"/>
        <v>56640.803872990451</v>
      </c>
      <c r="AA54" s="39">
        <f t="shared" ca="1" si="104"/>
        <v>27464.888773803283</v>
      </c>
      <c r="AB54" s="39">
        <f t="shared" ca="1" si="104"/>
        <v>23386.227758919027</v>
      </c>
      <c r="AC54" s="39">
        <f t="shared" ca="1" si="104"/>
        <v>8892.7235774002438</v>
      </c>
      <c r="AD54" s="39">
        <f t="shared" ca="1" si="104"/>
        <v>51207.702104493248</v>
      </c>
      <c r="AE54" s="39">
        <f t="shared" ca="1" si="104"/>
        <v>0</v>
      </c>
      <c r="AF54" s="39">
        <f t="shared" ca="1" si="104"/>
        <v>9328.2282075730836</v>
      </c>
      <c r="AG54" s="39">
        <f t="shared" ca="1" si="104"/>
        <v>0</v>
      </c>
      <c r="AI54" s="28"/>
      <c r="AJ54" s="39">
        <f t="shared" ca="1" si="105"/>
        <v>10129.219562216134</v>
      </c>
      <c r="AK54" s="39">
        <f t="shared" ca="1" si="105"/>
        <v>40516.878248864537</v>
      </c>
      <c r="AL54" s="39">
        <f t="shared" ca="1" si="105"/>
        <v>17307.79691525608</v>
      </c>
      <c r="AM54" s="39">
        <f t="shared" ca="1" si="105"/>
        <v>14434.477850740257</v>
      </c>
      <c r="AN54" s="39">
        <f t="shared" ca="1" si="105"/>
        <v>0</v>
      </c>
      <c r="AO54" s="39">
        <f t="shared" ca="1" si="105"/>
        <v>16850.376568210027</v>
      </c>
      <c r="AP54" s="39">
        <f t="shared" ca="1" si="105"/>
        <v>0</v>
      </c>
      <c r="AQ54" s="39">
        <f t="shared" ca="1" si="105"/>
        <v>11913.158915695743</v>
      </c>
      <c r="AR54" s="39">
        <f t="shared" ca="1" si="105"/>
        <v>0</v>
      </c>
      <c r="AT54" s="28"/>
      <c r="AU54" s="39">
        <f t="shared" ca="1" si="106"/>
        <v>12039.084951512448</v>
      </c>
      <c r="AV54" s="39">
        <f t="shared" ca="1" si="106"/>
        <v>48156.339806049793</v>
      </c>
      <c r="AW54" s="39">
        <f t="shared" ca="1" si="106"/>
        <v>8803.3748855325248</v>
      </c>
      <c r="AX54" s="39">
        <f t="shared" ca="1" si="106"/>
        <v>2513.7454626973517</v>
      </c>
      <c r="AY54" s="39">
        <f t="shared" ca="1" si="106"/>
        <v>8789.8882905336231</v>
      </c>
      <c r="AZ54" s="39">
        <f t="shared" ca="1" si="106"/>
        <v>68842.336659477296</v>
      </c>
      <c r="BA54" s="39">
        <f t="shared" ca="1" si="106"/>
        <v>26369.664871600871</v>
      </c>
      <c r="BB54" s="39">
        <f t="shared" ca="1" si="106"/>
        <v>5394.6379995603365</v>
      </c>
      <c r="BC54" s="39">
        <f t="shared" ca="1" si="106"/>
        <v>16858.243748626053</v>
      </c>
    </row>
    <row r="55" spans="1:55" x14ac:dyDescent="0.35">
      <c r="B55" s="9" t="s">
        <v>366</v>
      </c>
      <c r="C55" s="9"/>
      <c r="D55" s="9"/>
      <c r="E55" s="22">
        <v>0.1</v>
      </c>
      <c r="F55" s="105">
        <f t="shared" ca="1" si="101"/>
        <v>0.25574493788586605</v>
      </c>
      <c r="G55" s="29">
        <f>+SUM(H55:J55)</f>
        <v>1137773.9358527898</v>
      </c>
      <c r="H55" s="11">
        <f>+SUMIF('Taxes and TIF'!$B$11:$B$45,"&lt;"&amp;'Taxes and TIF'!$H$9,'Taxes and TIF'!$L$11:$L$45)</f>
        <v>466180.54969891993</v>
      </c>
      <c r="I55" s="34">
        <f>+SUMIF('Taxes and TIF'!$R$11:$R$45,"&lt;"&amp;'Taxes and TIF'!$X$9,'Taxes and TIF'!$AB$11:$AB$45)</f>
        <v>55330.576573829996</v>
      </c>
      <c r="J55" s="34">
        <f>+SUMIF('Taxes and TIF'!$AG$11:$AG$45,"&lt;"&amp;'Taxes and TIF'!$AM$9,'Taxes and TIF'!$AQ$11:$AQ$45)</f>
        <v>616262.80958003993</v>
      </c>
      <c r="M55" s="39">
        <f t="shared" ca="1" si="103"/>
        <v>77103.946054157626</v>
      </c>
      <c r="N55" s="39">
        <f t="shared" ca="1" si="103"/>
        <v>308415.78421663051</v>
      </c>
      <c r="O55" s="39">
        <f t="shared" ca="1" si="103"/>
        <v>103054.0913600341</v>
      </c>
      <c r="P55" s="39">
        <f t="shared" ca="1" si="103"/>
        <v>72073.932351438023</v>
      </c>
      <c r="Q55" s="39">
        <f t="shared" ca="1" si="103"/>
        <v>49085.78831376569</v>
      </c>
      <c r="R55" s="39">
        <f t="shared" ca="1" si="103"/>
        <v>347839.26114345517</v>
      </c>
      <c r="S55" s="39">
        <f t="shared" ca="1" si="103"/>
        <v>82170.522584951439</v>
      </c>
      <c r="T55" s="39">
        <f t="shared" ca="1" si="103"/>
        <v>45498.630167859003</v>
      </c>
      <c r="U55" s="39">
        <f t="shared" ca="1" si="103"/>
        <v>52531.979660498306</v>
      </c>
      <c r="X55" s="41"/>
      <c r="Y55" s="39">
        <f t="shared" ca="1" si="104"/>
        <v>34546.700274396098</v>
      </c>
      <c r="Z55" s="39">
        <f t="shared" ca="1" si="104"/>
        <v>138186.80109758439</v>
      </c>
      <c r="AA55" s="39">
        <f t="shared" ca="1" si="104"/>
        <v>67006.201583283662</v>
      </c>
      <c r="AB55" s="39">
        <f t="shared" ca="1" si="104"/>
        <v>57055.475607146051</v>
      </c>
      <c r="AC55" s="39">
        <f t="shared" ca="1" si="104"/>
        <v>21695.614118781872</v>
      </c>
      <c r="AD55" s="39">
        <f t="shared" ca="1" si="104"/>
        <v>124931.64046974815</v>
      </c>
      <c r="AE55" s="39">
        <f t="shared" ca="1" si="104"/>
        <v>0</v>
      </c>
      <c r="AF55" s="39">
        <f t="shared" ca="1" si="104"/>
        <v>22758.11654797972</v>
      </c>
      <c r="AG55" s="39">
        <f t="shared" ca="1" si="104"/>
        <v>0</v>
      </c>
      <c r="AI55" s="41"/>
      <c r="AJ55" s="39">
        <f t="shared" ca="1" si="105"/>
        <v>5042.2486522934569</v>
      </c>
      <c r="AK55" s="39">
        <f t="shared" ca="1" si="105"/>
        <v>20168.994609173827</v>
      </c>
      <c r="AL55" s="39">
        <f t="shared" ca="1" si="105"/>
        <v>8615.6899980382368</v>
      </c>
      <c r="AM55" s="39">
        <f t="shared" ca="1" si="105"/>
        <v>7185.3735662859945</v>
      </c>
      <c r="AN55" s="39">
        <f t="shared" ca="1" si="105"/>
        <v>0</v>
      </c>
      <c r="AO55" s="39">
        <f t="shared" ca="1" si="105"/>
        <v>8387.9896195186557</v>
      </c>
      <c r="AP55" s="39">
        <f t="shared" ca="1" si="105"/>
        <v>0</v>
      </c>
      <c r="AQ55" s="39">
        <f t="shared" ca="1" si="105"/>
        <v>5930.2801285198257</v>
      </c>
      <c r="AR55" s="39">
        <f t="shared" ca="1" si="105"/>
        <v>0</v>
      </c>
      <c r="AT55" s="41"/>
      <c r="AU55" s="39">
        <f t="shared" ca="1" si="106"/>
        <v>37514.997127468079</v>
      </c>
      <c r="AV55" s="39">
        <f t="shared" ca="1" si="106"/>
        <v>150059.98850987232</v>
      </c>
      <c r="AW55" s="39">
        <f t="shared" ca="1" si="106"/>
        <v>27432.199778712209</v>
      </c>
      <c r="AX55" s="39">
        <f t="shared" ca="1" si="106"/>
        <v>7833.083178005978</v>
      </c>
      <c r="AY55" s="39">
        <f t="shared" ca="1" si="106"/>
        <v>27390.174194983814</v>
      </c>
      <c r="AZ55" s="39">
        <f t="shared" ca="1" si="106"/>
        <v>214519.63105418833</v>
      </c>
      <c r="BA55" s="39">
        <f t="shared" ca="1" si="106"/>
        <v>82170.522584951439</v>
      </c>
      <c r="BB55" s="39">
        <f t="shared" ca="1" si="106"/>
        <v>16810.233491359457</v>
      </c>
      <c r="BC55" s="39">
        <f t="shared" ca="1" si="106"/>
        <v>52531.979660498306</v>
      </c>
    </row>
    <row r="56" spans="1:55" x14ac:dyDescent="0.35">
      <c r="B56" s="9" t="s">
        <v>59</v>
      </c>
      <c r="C56" s="9"/>
      <c r="D56" s="107">
        <v>0.01</v>
      </c>
      <c r="E56" s="22">
        <v>0.1</v>
      </c>
      <c r="F56" s="105">
        <f t="shared" ca="1" si="101"/>
        <v>1.6327569145366703</v>
      </c>
      <c r="G56" s="48">
        <f ca="1">$D$56*SUM(G35:G43)</f>
        <v>7263910.1923194397</v>
      </c>
      <c r="H56" s="11">
        <f t="shared" ref="H56:J63" ca="1" si="107">+$G56*H$20</f>
        <v>2775987.1819846141</v>
      </c>
      <c r="I56" s="11">
        <f t="shared" ca="1" si="107"/>
        <v>1614794.9557198524</v>
      </c>
      <c r="J56" s="11">
        <f t="shared" ca="1" si="107"/>
        <v>2873128.0546149733</v>
      </c>
      <c r="M56" s="39">
        <f t="shared" ca="1" si="103"/>
        <v>527774.00248451903</v>
      </c>
      <c r="N56" s="39">
        <f t="shared" ca="1" si="103"/>
        <v>2111096.0099380761</v>
      </c>
      <c r="O56" s="39">
        <f t="shared" ca="1" si="103"/>
        <v>778343.38494420331</v>
      </c>
      <c r="P56" s="39">
        <f t="shared" ca="1" si="103"/>
        <v>585971.66049220215</v>
      </c>
      <c r="Q56" s="39">
        <f t="shared" ca="1" si="103"/>
        <v>256889.80914862698</v>
      </c>
      <c r="R56" s="39">
        <f t="shared" ca="1" si="103"/>
        <v>1988864.6445283815</v>
      </c>
      <c r="S56" s="39">
        <f t="shared" ca="1" si="103"/>
        <v>383093.75485773891</v>
      </c>
      <c r="T56" s="39">
        <f t="shared" ca="1" si="103"/>
        <v>386963.38874519081</v>
      </c>
      <c r="U56" s="39">
        <f t="shared" ca="1" si="103"/>
        <v>244913.53718050054</v>
      </c>
      <c r="X56" s="41"/>
      <c r="Y56" s="39">
        <f t="shared" ca="1" si="104"/>
        <v>205716.85627709085</v>
      </c>
      <c r="Z56" s="39">
        <f t="shared" ca="1" si="104"/>
        <v>822867.42510836339</v>
      </c>
      <c r="AA56" s="39">
        <f t="shared" ca="1" si="104"/>
        <v>399004.97098989878</v>
      </c>
      <c r="AB56" s="39">
        <f t="shared" ca="1" si="104"/>
        <v>339750.91635583143</v>
      </c>
      <c r="AC56" s="39">
        <f t="shared" ca="1" si="104"/>
        <v>129191.89086271403</v>
      </c>
      <c r="AD56" s="39">
        <f t="shared" ca="1" si="104"/>
        <v>743936.29848417209</v>
      </c>
      <c r="AE56" s="39">
        <f t="shared" ca="1" si="104"/>
        <v>0</v>
      </c>
      <c r="AF56" s="39">
        <f t="shared" ca="1" si="104"/>
        <v>135518.82390654361</v>
      </c>
      <c r="AG56" s="39">
        <f t="shared" ca="1" si="104"/>
        <v>0</v>
      </c>
      <c r="AI56" s="41"/>
      <c r="AJ56" s="39">
        <f t="shared" ca="1" si="105"/>
        <v>147155.48243644647</v>
      </c>
      <c r="AK56" s="39">
        <f t="shared" ca="1" si="105"/>
        <v>588621.92974578589</v>
      </c>
      <c r="AL56" s="39">
        <f t="shared" ca="1" si="105"/>
        <v>251444.5648386472</v>
      </c>
      <c r="AM56" s="39">
        <f t="shared" ca="1" si="105"/>
        <v>209701.50156160272</v>
      </c>
      <c r="AN56" s="39">
        <f t="shared" ca="1" si="105"/>
        <v>0</v>
      </c>
      <c r="AO56" s="39">
        <f t="shared" ca="1" si="105"/>
        <v>244799.24419648296</v>
      </c>
      <c r="AP56" s="39">
        <f t="shared" ca="1" si="105"/>
        <v>0</v>
      </c>
      <c r="AQ56" s="39">
        <f t="shared" ca="1" si="105"/>
        <v>173072.23294088704</v>
      </c>
      <c r="AR56" s="39">
        <f t="shared" ca="1" si="105"/>
        <v>0</v>
      </c>
      <c r="AT56" s="41"/>
      <c r="AU56" s="39">
        <f t="shared" ca="1" si="106"/>
        <v>174901.66377098172</v>
      </c>
      <c r="AV56" s="39">
        <f t="shared" ca="1" si="106"/>
        <v>699606.65508392686</v>
      </c>
      <c r="AW56" s="39">
        <f t="shared" ca="1" si="106"/>
        <v>127893.84911565737</v>
      </c>
      <c r="AX56" s="39">
        <f t="shared" ca="1" si="106"/>
        <v>36519.242574768075</v>
      </c>
      <c r="AY56" s="39">
        <f t="shared" ca="1" si="106"/>
        <v>127697.91828591297</v>
      </c>
      <c r="AZ56" s="39">
        <f t="shared" ca="1" si="106"/>
        <v>1000129.1018477266</v>
      </c>
      <c r="BA56" s="39">
        <f t="shared" ca="1" si="106"/>
        <v>383093.75485773891</v>
      </c>
      <c r="BB56" s="39">
        <f t="shared" ca="1" si="106"/>
        <v>78372.331897760159</v>
      </c>
      <c r="BC56" s="39">
        <f t="shared" ca="1" si="106"/>
        <v>244913.53718050054</v>
      </c>
    </row>
    <row r="57" spans="1:55" x14ac:dyDescent="0.35">
      <c r="B57" s="9" t="s">
        <v>88</v>
      </c>
      <c r="C57" s="9"/>
      <c r="D57" s="201"/>
      <c r="E57" s="22">
        <v>0.25</v>
      </c>
      <c r="F57" s="105">
        <f t="shared" ca="1" si="101"/>
        <v>3.3716487497252104E-2</v>
      </c>
      <c r="G57" s="26">
        <v>150000</v>
      </c>
      <c r="H57" s="11">
        <f t="shared" ca="1" si="107"/>
        <v>57324.232579028081</v>
      </c>
      <c r="I57" s="11">
        <f t="shared" ca="1" si="107"/>
        <v>33345.572418294832</v>
      </c>
      <c r="J57" s="11">
        <f t="shared" ca="1" si="107"/>
        <v>59330.195002677094</v>
      </c>
      <c r="M57" s="39">
        <f t="shared" ca="1" si="103"/>
        <v>10898.551644592859</v>
      </c>
      <c r="N57" s="39">
        <f t="shared" ca="1" si="103"/>
        <v>43594.206578371435</v>
      </c>
      <c r="O57" s="39">
        <f t="shared" ca="1" si="103"/>
        <v>16072.818172377567</v>
      </c>
      <c r="P57" s="39">
        <f t="shared" ca="1" si="103"/>
        <v>12100.335321706991</v>
      </c>
      <c r="Q57" s="39">
        <f t="shared" ca="1" si="103"/>
        <v>5304.7835603801605</v>
      </c>
      <c r="R57" s="39">
        <f t="shared" ca="1" si="103"/>
        <v>41070.124599654169</v>
      </c>
      <c r="S57" s="39">
        <f t="shared" ca="1" si="103"/>
        <v>7910.8994614802623</v>
      </c>
      <c r="T57" s="39">
        <f t="shared" ca="1" si="103"/>
        <v>7990.8075368487489</v>
      </c>
      <c r="U57" s="39">
        <f t="shared" ca="1" si="103"/>
        <v>5057.4731245878165</v>
      </c>
      <c r="X57" s="41"/>
      <c r="Y57" s="39">
        <f t="shared" ca="1" si="104"/>
        <v>4248.0602904742836</v>
      </c>
      <c r="Z57" s="39">
        <f t="shared" ca="1" si="104"/>
        <v>16992.241161897135</v>
      </c>
      <c r="AA57" s="39">
        <f t="shared" ca="1" si="104"/>
        <v>8239.4666321409841</v>
      </c>
      <c r="AB57" s="39">
        <f t="shared" ca="1" si="104"/>
        <v>7015.8683276757083</v>
      </c>
      <c r="AC57" s="39">
        <f t="shared" ca="1" si="104"/>
        <v>2667.8170732200733</v>
      </c>
      <c r="AD57" s="39">
        <f t="shared" ca="1" si="104"/>
        <v>15362.310631347973</v>
      </c>
      <c r="AE57" s="39">
        <f t="shared" ca="1" si="104"/>
        <v>0</v>
      </c>
      <c r="AF57" s="39">
        <f t="shared" ca="1" si="104"/>
        <v>2798.4684622719251</v>
      </c>
      <c r="AG57" s="39">
        <f t="shared" ca="1" si="104"/>
        <v>0</v>
      </c>
      <c r="AI57" s="41"/>
      <c r="AJ57" s="39">
        <f t="shared" ca="1" si="105"/>
        <v>3038.7658686648401</v>
      </c>
      <c r="AK57" s="39">
        <f t="shared" ca="1" si="105"/>
        <v>12155.063474659361</v>
      </c>
      <c r="AL57" s="39">
        <f t="shared" ca="1" si="105"/>
        <v>5192.3390745768238</v>
      </c>
      <c r="AM57" s="39">
        <f t="shared" ca="1" si="105"/>
        <v>4330.3433552220768</v>
      </c>
      <c r="AN57" s="39">
        <f t="shared" ca="1" si="105"/>
        <v>0</v>
      </c>
      <c r="AO57" s="39">
        <f t="shared" ca="1" si="105"/>
        <v>5055.1129704630075</v>
      </c>
      <c r="AP57" s="39">
        <f t="shared" ca="1" si="105"/>
        <v>0</v>
      </c>
      <c r="AQ57" s="39">
        <f t="shared" ca="1" si="105"/>
        <v>3573.9476747087228</v>
      </c>
      <c r="AR57" s="39">
        <f t="shared" ca="1" si="105"/>
        <v>0</v>
      </c>
      <c r="AT57" s="41"/>
      <c r="AU57" s="39">
        <f t="shared" ca="1" si="106"/>
        <v>3611.7254854537346</v>
      </c>
      <c r="AV57" s="39">
        <f t="shared" ca="1" si="106"/>
        <v>14446.901941814938</v>
      </c>
      <c r="AW57" s="39">
        <f t="shared" ca="1" si="106"/>
        <v>2641.0124656597577</v>
      </c>
      <c r="AX57" s="39">
        <f t="shared" ca="1" si="106"/>
        <v>754.12363880920566</v>
      </c>
      <c r="AY57" s="39">
        <f t="shared" ca="1" si="106"/>
        <v>2636.9664871600871</v>
      </c>
      <c r="AZ57" s="39">
        <f t="shared" ca="1" si="106"/>
        <v>20652.700997843189</v>
      </c>
      <c r="BA57" s="39">
        <f t="shared" ca="1" si="106"/>
        <v>7910.8994614802623</v>
      </c>
      <c r="BB57" s="39">
        <f t="shared" ca="1" si="106"/>
        <v>1618.3913998681012</v>
      </c>
      <c r="BC57" s="39">
        <f t="shared" ca="1" si="106"/>
        <v>5057.4731245878165</v>
      </c>
    </row>
    <row r="58" spans="1:55" x14ac:dyDescent="0.35">
      <c r="B58" s="9" t="s">
        <v>74</v>
      </c>
      <c r="C58" s="9"/>
      <c r="D58" s="170">
        <v>2.5000000000000001E-3</v>
      </c>
      <c r="E58" s="22">
        <v>0.25</v>
      </c>
      <c r="F58" s="105">
        <f t="shared" ca="1" si="101"/>
        <v>0.44450140498183316</v>
      </c>
      <c r="G58" s="29">
        <f ca="1">D58*SUM('S&amp;U'!$G$17:$G$18)</f>
        <v>1977525.4095702881</v>
      </c>
      <c r="H58" s="34">
        <f t="shared" ca="1" si="107"/>
        <v>755734.17672763299</v>
      </c>
      <c r="I58" s="34">
        <f t="shared" ca="1" si="107"/>
        <v>439611.44502562797</v>
      </c>
      <c r="J58" s="34">
        <f t="shared" ca="1" si="107"/>
        <v>782179.78781702719</v>
      </c>
      <c r="K58" s="34"/>
      <c r="L58" s="34"/>
      <c r="M58" s="39">
        <f t="shared" ca="1" si="103"/>
        <v>143681.08536464284</v>
      </c>
      <c r="N58" s="39">
        <f t="shared" ca="1" si="103"/>
        <v>574724.34145857138</v>
      </c>
      <c r="O58" s="39">
        <f t="shared" ca="1" si="103"/>
        <v>211896.04226186476</v>
      </c>
      <c r="P58" s="39">
        <f t="shared" ca="1" si="103"/>
        <v>159524.80375330959</v>
      </c>
      <c r="Q58" s="39">
        <f t="shared" ca="1" si="103"/>
        <v>69935.628552816721</v>
      </c>
      <c r="R58" s="39">
        <f t="shared" ca="1" si="103"/>
        <v>541448.09980022581</v>
      </c>
      <c r="S58" s="39">
        <f t="shared" ca="1" si="103"/>
        <v>104293.36465088751</v>
      </c>
      <c r="T58" s="39">
        <f t="shared" ca="1" si="103"/>
        <v>105346.83298069444</v>
      </c>
      <c r="U58" s="39">
        <f t="shared" ca="1" si="103"/>
        <v>66675.210747274978</v>
      </c>
      <c r="X58" s="34"/>
      <c r="Y58" s="39">
        <f t="shared" ca="1" si="104"/>
        <v>56004.314438662892</v>
      </c>
      <c r="Z58" s="39">
        <f t="shared" ca="1" si="104"/>
        <v>224017.25775465157</v>
      </c>
      <c r="AA58" s="39">
        <f t="shared" ca="1" si="104"/>
        <v>108625.03084243547</v>
      </c>
      <c r="AB58" s="39">
        <f t="shared" ca="1" si="104"/>
        <v>92493.71925452078</v>
      </c>
      <c r="AC58" s="39">
        <f t="shared" ca="1" si="104"/>
        <v>35171.173669187549</v>
      </c>
      <c r="AD58" s="39">
        <f t="shared" ca="1" si="104"/>
        <v>202529.06415468259</v>
      </c>
      <c r="AE58" s="39">
        <f t="shared" ca="1" si="104"/>
        <v>0</v>
      </c>
      <c r="AF58" s="39">
        <f t="shared" ca="1" si="104"/>
        <v>36893.616613492151</v>
      </c>
      <c r="AG58" s="39">
        <f t="shared" ca="1" si="104"/>
        <v>0</v>
      </c>
      <c r="AI58" s="34"/>
      <c r="AJ58" s="39">
        <f t="shared" ca="1" si="105"/>
        <v>40061.578126797671</v>
      </c>
      <c r="AK58" s="39">
        <f t="shared" ca="1" si="105"/>
        <v>160246.31250719068</v>
      </c>
      <c r="AL58" s="39">
        <f t="shared" ca="1" si="105"/>
        <v>68453.216367202287</v>
      </c>
      <c r="AM58" s="39">
        <f t="shared" ca="1" si="105"/>
        <v>57089.09344743676</v>
      </c>
      <c r="AN58" s="39">
        <f t="shared" ca="1" si="105"/>
        <v>0</v>
      </c>
      <c r="AO58" s="39">
        <f t="shared" ca="1" si="105"/>
        <v>66644.095648926246</v>
      </c>
      <c r="AP58" s="39">
        <f t="shared" ca="1" si="105"/>
        <v>0</v>
      </c>
      <c r="AQ58" s="39">
        <f t="shared" ca="1" si="105"/>
        <v>47117.148928074304</v>
      </c>
      <c r="AR58" s="39">
        <f t="shared" ca="1" si="105"/>
        <v>0</v>
      </c>
      <c r="AT58" s="34"/>
      <c r="AU58" s="39">
        <f t="shared" ca="1" si="106"/>
        <v>47615.192799182296</v>
      </c>
      <c r="AV58" s="39">
        <f t="shared" ca="1" si="106"/>
        <v>190460.77119672918</v>
      </c>
      <c r="AW58" s="39">
        <f t="shared" ca="1" si="106"/>
        <v>34817.795052226989</v>
      </c>
      <c r="AX58" s="39">
        <f t="shared" ca="1" si="106"/>
        <v>9941.9910513520681</v>
      </c>
      <c r="AY58" s="39">
        <f t="shared" ca="1" si="106"/>
        <v>34764.454883629172</v>
      </c>
      <c r="AZ58" s="39">
        <f t="shared" ca="1" si="106"/>
        <v>272274.93999661703</v>
      </c>
      <c r="BA58" s="39">
        <f t="shared" ca="1" si="106"/>
        <v>104293.36465088751</v>
      </c>
      <c r="BB58" s="39">
        <f t="shared" ca="1" si="106"/>
        <v>21336.06743912799</v>
      </c>
      <c r="BC58" s="39">
        <f t="shared" ca="1" si="106"/>
        <v>66675.210747274978</v>
      </c>
    </row>
    <row r="59" spans="1:55" x14ac:dyDescent="0.35">
      <c r="B59" s="9" t="s">
        <v>91</v>
      </c>
      <c r="C59" s="9"/>
      <c r="D59" s="9"/>
      <c r="E59" s="22">
        <v>0.25</v>
      </c>
      <c r="F59" s="105">
        <f t="shared" ca="1" si="101"/>
        <v>4.4955316663002808E-2</v>
      </c>
      <c r="G59" s="26">
        <v>200000</v>
      </c>
      <c r="H59" s="11">
        <f t="shared" ca="1" si="107"/>
        <v>76432.310105370765</v>
      </c>
      <c r="I59" s="11">
        <f t="shared" ca="1" si="107"/>
        <v>44460.763224393115</v>
      </c>
      <c r="J59" s="11">
        <f t="shared" ca="1" si="107"/>
        <v>79106.92667023612</v>
      </c>
      <c r="M59" s="39">
        <f t="shared" ca="1" si="103"/>
        <v>14531.40219279048</v>
      </c>
      <c r="N59" s="39">
        <f t="shared" ca="1" si="103"/>
        <v>58125.608771161918</v>
      </c>
      <c r="O59" s="39">
        <f t="shared" ca="1" si="103"/>
        <v>21430.424229836754</v>
      </c>
      <c r="P59" s="39">
        <f t="shared" ca="1" si="103"/>
        <v>16133.780428942655</v>
      </c>
      <c r="Q59" s="39">
        <f t="shared" ca="1" si="103"/>
        <v>7073.0447471735461</v>
      </c>
      <c r="R59" s="39">
        <f t="shared" ca="1" si="103"/>
        <v>54760.166132872226</v>
      </c>
      <c r="S59" s="39">
        <f t="shared" ca="1" si="103"/>
        <v>10547.865948640349</v>
      </c>
      <c r="T59" s="39">
        <f t="shared" ca="1" si="103"/>
        <v>10654.410049131666</v>
      </c>
      <c r="U59" s="39">
        <f t="shared" ca="1" si="103"/>
        <v>6743.297499450422</v>
      </c>
      <c r="X59" s="41"/>
      <c r="Y59" s="39">
        <f t="shared" ca="1" si="104"/>
        <v>5664.0803872990446</v>
      </c>
      <c r="Z59" s="39">
        <f t="shared" ca="1" si="104"/>
        <v>22656.321549196178</v>
      </c>
      <c r="AA59" s="39">
        <f t="shared" ca="1" si="104"/>
        <v>10985.955509521311</v>
      </c>
      <c r="AB59" s="39">
        <f t="shared" ca="1" si="104"/>
        <v>9354.4911035676105</v>
      </c>
      <c r="AC59" s="39">
        <f t="shared" ca="1" si="104"/>
        <v>3557.0894309600972</v>
      </c>
      <c r="AD59" s="39">
        <f t="shared" ca="1" si="104"/>
        <v>20483.080841797295</v>
      </c>
      <c r="AE59" s="39">
        <f t="shared" ca="1" si="104"/>
        <v>0</v>
      </c>
      <c r="AF59" s="39">
        <f t="shared" ca="1" si="104"/>
        <v>3731.291283029233</v>
      </c>
      <c r="AG59" s="39">
        <f t="shared" ca="1" si="104"/>
        <v>0</v>
      </c>
      <c r="AI59" s="41"/>
      <c r="AJ59" s="39">
        <f t="shared" ca="1" si="105"/>
        <v>4051.6878248864541</v>
      </c>
      <c r="AK59" s="39">
        <f t="shared" ca="1" si="105"/>
        <v>16206.751299545816</v>
      </c>
      <c r="AL59" s="39">
        <f t="shared" ca="1" si="105"/>
        <v>6923.1187661024323</v>
      </c>
      <c r="AM59" s="39">
        <f t="shared" ca="1" si="105"/>
        <v>5773.7911402961035</v>
      </c>
      <c r="AN59" s="39">
        <f t="shared" ca="1" si="105"/>
        <v>0</v>
      </c>
      <c r="AO59" s="39">
        <f t="shared" ca="1" si="105"/>
        <v>6740.1506272840115</v>
      </c>
      <c r="AP59" s="39">
        <f t="shared" ca="1" si="105"/>
        <v>0</v>
      </c>
      <c r="AQ59" s="39">
        <f t="shared" ca="1" si="105"/>
        <v>4765.2635662782977</v>
      </c>
      <c r="AR59" s="39">
        <f t="shared" ca="1" si="105"/>
        <v>0</v>
      </c>
      <c r="AT59" s="41"/>
      <c r="AU59" s="39">
        <f t="shared" ca="1" si="106"/>
        <v>4815.6339806049791</v>
      </c>
      <c r="AV59" s="39">
        <f t="shared" ca="1" si="106"/>
        <v>19262.535922419916</v>
      </c>
      <c r="AW59" s="39">
        <f t="shared" ca="1" si="106"/>
        <v>3521.3499542130098</v>
      </c>
      <c r="AX59" s="39">
        <f t="shared" ca="1" si="106"/>
        <v>1005.4981850789408</v>
      </c>
      <c r="AY59" s="39">
        <f t="shared" ca="1" si="106"/>
        <v>3515.9553162134494</v>
      </c>
      <c r="AZ59" s="39">
        <f t="shared" ca="1" si="106"/>
        <v>27536.934663790918</v>
      </c>
      <c r="BA59" s="39">
        <f t="shared" ca="1" si="106"/>
        <v>10547.865948640349</v>
      </c>
      <c r="BB59" s="39">
        <f t="shared" ca="1" si="106"/>
        <v>2157.8551998241346</v>
      </c>
      <c r="BC59" s="39">
        <f t="shared" ca="1" si="106"/>
        <v>6743.297499450422</v>
      </c>
    </row>
    <row r="60" spans="1:55" x14ac:dyDescent="0.35">
      <c r="B60" s="9" t="s">
        <v>75</v>
      </c>
      <c r="C60" s="9"/>
      <c r="D60" s="9"/>
      <c r="E60" s="22">
        <v>0</v>
      </c>
      <c r="F60" s="105">
        <f t="shared" ca="1" si="101"/>
        <v>4.4955316663002808E-2</v>
      </c>
      <c r="G60" s="26">
        <v>200000</v>
      </c>
      <c r="H60" s="11">
        <f t="shared" ca="1" si="107"/>
        <v>76432.310105370765</v>
      </c>
      <c r="I60" s="11">
        <f t="shared" ca="1" si="107"/>
        <v>44460.763224393115</v>
      </c>
      <c r="J60" s="11">
        <f t="shared" ca="1" si="107"/>
        <v>79106.92667023612</v>
      </c>
      <c r="M60" s="39">
        <f t="shared" ca="1" si="103"/>
        <v>14531.40219279048</v>
      </c>
      <c r="N60" s="39">
        <f t="shared" ca="1" si="103"/>
        <v>58125.608771161918</v>
      </c>
      <c r="O60" s="39">
        <f t="shared" ca="1" si="103"/>
        <v>21430.424229836754</v>
      </c>
      <c r="P60" s="39">
        <f t="shared" ca="1" si="103"/>
        <v>16133.780428942655</v>
      </c>
      <c r="Q60" s="39">
        <f t="shared" ca="1" si="103"/>
        <v>7073.0447471735461</v>
      </c>
      <c r="R60" s="39">
        <f t="shared" ca="1" si="103"/>
        <v>54760.166132872226</v>
      </c>
      <c r="S60" s="39">
        <f t="shared" ca="1" si="103"/>
        <v>10547.865948640349</v>
      </c>
      <c r="T60" s="39">
        <f t="shared" ca="1" si="103"/>
        <v>10654.410049131666</v>
      </c>
      <c r="U60" s="39">
        <f t="shared" ca="1" si="103"/>
        <v>6743.297499450422</v>
      </c>
      <c r="X60" s="41"/>
      <c r="Y60" s="39">
        <f t="shared" ca="1" si="104"/>
        <v>5664.0803872990446</v>
      </c>
      <c r="Z60" s="39">
        <f t="shared" ca="1" si="104"/>
        <v>22656.321549196178</v>
      </c>
      <c r="AA60" s="39">
        <f t="shared" ca="1" si="104"/>
        <v>10985.955509521311</v>
      </c>
      <c r="AB60" s="39">
        <f t="shared" ca="1" si="104"/>
        <v>9354.4911035676105</v>
      </c>
      <c r="AC60" s="39">
        <f t="shared" ca="1" si="104"/>
        <v>3557.0894309600972</v>
      </c>
      <c r="AD60" s="39">
        <f t="shared" ca="1" si="104"/>
        <v>20483.080841797295</v>
      </c>
      <c r="AE60" s="39">
        <f t="shared" ca="1" si="104"/>
        <v>0</v>
      </c>
      <c r="AF60" s="39">
        <f t="shared" ca="1" si="104"/>
        <v>3731.291283029233</v>
      </c>
      <c r="AG60" s="39">
        <f t="shared" ca="1" si="104"/>
        <v>0</v>
      </c>
      <c r="AI60" s="41"/>
      <c r="AJ60" s="39">
        <f t="shared" ca="1" si="105"/>
        <v>4051.6878248864541</v>
      </c>
      <c r="AK60" s="39">
        <f t="shared" ca="1" si="105"/>
        <v>16206.751299545816</v>
      </c>
      <c r="AL60" s="39">
        <f t="shared" ca="1" si="105"/>
        <v>6923.1187661024323</v>
      </c>
      <c r="AM60" s="39">
        <f t="shared" ca="1" si="105"/>
        <v>5773.7911402961035</v>
      </c>
      <c r="AN60" s="39">
        <f t="shared" ca="1" si="105"/>
        <v>0</v>
      </c>
      <c r="AO60" s="39">
        <f t="shared" ca="1" si="105"/>
        <v>6740.1506272840115</v>
      </c>
      <c r="AP60" s="39">
        <f t="shared" ca="1" si="105"/>
        <v>0</v>
      </c>
      <c r="AQ60" s="39">
        <f t="shared" ca="1" si="105"/>
        <v>4765.2635662782977</v>
      </c>
      <c r="AR60" s="39">
        <f t="shared" ca="1" si="105"/>
        <v>0</v>
      </c>
      <c r="AT60" s="41"/>
      <c r="AU60" s="39">
        <f t="shared" ca="1" si="106"/>
        <v>4815.6339806049791</v>
      </c>
      <c r="AV60" s="39">
        <f t="shared" ca="1" si="106"/>
        <v>19262.535922419916</v>
      </c>
      <c r="AW60" s="39">
        <f t="shared" ca="1" si="106"/>
        <v>3521.3499542130098</v>
      </c>
      <c r="AX60" s="39">
        <f t="shared" ca="1" si="106"/>
        <v>1005.4981850789408</v>
      </c>
      <c r="AY60" s="39">
        <f t="shared" ca="1" si="106"/>
        <v>3515.9553162134494</v>
      </c>
      <c r="AZ60" s="39">
        <f t="shared" ca="1" si="106"/>
        <v>27536.934663790918</v>
      </c>
      <c r="BA60" s="39">
        <f t="shared" ca="1" si="106"/>
        <v>10547.865948640349</v>
      </c>
      <c r="BB60" s="39">
        <f t="shared" ca="1" si="106"/>
        <v>2157.8551998241346</v>
      </c>
      <c r="BC60" s="39">
        <f t="shared" ca="1" si="106"/>
        <v>6743.297499450422</v>
      </c>
    </row>
    <row r="61" spans="1:55" x14ac:dyDescent="0.35">
      <c r="B61" s="9" t="s">
        <v>76</v>
      </c>
      <c r="C61" s="9"/>
      <c r="D61" s="9"/>
      <c r="E61" s="22">
        <v>0</v>
      </c>
      <c r="F61" s="105">
        <f t="shared" ca="1" si="101"/>
        <v>4.4955316663002808E-2</v>
      </c>
      <c r="G61" s="26">
        <v>200000</v>
      </c>
      <c r="H61" s="11">
        <f t="shared" ca="1" si="107"/>
        <v>76432.310105370765</v>
      </c>
      <c r="I61" s="11">
        <f t="shared" ca="1" si="107"/>
        <v>44460.763224393115</v>
      </c>
      <c r="J61" s="11">
        <f t="shared" ca="1" si="107"/>
        <v>79106.92667023612</v>
      </c>
      <c r="M61" s="39">
        <f t="shared" ca="1" si="103"/>
        <v>14531.40219279048</v>
      </c>
      <c r="N61" s="39">
        <f t="shared" ca="1" si="103"/>
        <v>58125.608771161918</v>
      </c>
      <c r="O61" s="39">
        <f t="shared" ca="1" si="103"/>
        <v>21430.424229836754</v>
      </c>
      <c r="P61" s="39">
        <f t="shared" ca="1" si="103"/>
        <v>16133.780428942655</v>
      </c>
      <c r="Q61" s="39">
        <f t="shared" ca="1" si="103"/>
        <v>7073.0447471735461</v>
      </c>
      <c r="R61" s="39">
        <f t="shared" ca="1" si="103"/>
        <v>54760.166132872226</v>
      </c>
      <c r="S61" s="39">
        <f t="shared" ca="1" si="103"/>
        <v>10547.865948640349</v>
      </c>
      <c r="T61" s="39">
        <f t="shared" ca="1" si="103"/>
        <v>10654.410049131666</v>
      </c>
      <c r="U61" s="39">
        <f t="shared" ca="1" si="103"/>
        <v>6743.297499450422</v>
      </c>
      <c r="X61" s="41"/>
      <c r="Y61" s="39">
        <f t="shared" ca="1" si="104"/>
        <v>5664.0803872990446</v>
      </c>
      <c r="Z61" s="39">
        <f t="shared" ca="1" si="104"/>
        <v>22656.321549196178</v>
      </c>
      <c r="AA61" s="39">
        <f t="shared" ca="1" si="104"/>
        <v>10985.955509521311</v>
      </c>
      <c r="AB61" s="39">
        <f t="shared" ca="1" si="104"/>
        <v>9354.4911035676105</v>
      </c>
      <c r="AC61" s="39">
        <f t="shared" ca="1" si="104"/>
        <v>3557.0894309600972</v>
      </c>
      <c r="AD61" s="39">
        <f t="shared" ca="1" si="104"/>
        <v>20483.080841797295</v>
      </c>
      <c r="AE61" s="39">
        <f t="shared" ca="1" si="104"/>
        <v>0</v>
      </c>
      <c r="AF61" s="39">
        <f t="shared" ca="1" si="104"/>
        <v>3731.291283029233</v>
      </c>
      <c r="AG61" s="39">
        <f t="shared" ca="1" si="104"/>
        <v>0</v>
      </c>
      <c r="AI61" s="41"/>
      <c r="AJ61" s="39">
        <f t="shared" ca="1" si="105"/>
        <v>4051.6878248864541</v>
      </c>
      <c r="AK61" s="39">
        <f t="shared" ca="1" si="105"/>
        <v>16206.751299545816</v>
      </c>
      <c r="AL61" s="39">
        <f t="shared" ca="1" si="105"/>
        <v>6923.1187661024323</v>
      </c>
      <c r="AM61" s="39">
        <f t="shared" ca="1" si="105"/>
        <v>5773.7911402961035</v>
      </c>
      <c r="AN61" s="39">
        <f t="shared" ca="1" si="105"/>
        <v>0</v>
      </c>
      <c r="AO61" s="39">
        <f t="shared" ca="1" si="105"/>
        <v>6740.1506272840115</v>
      </c>
      <c r="AP61" s="39">
        <f t="shared" ca="1" si="105"/>
        <v>0</v>
      </c>
      <c r="AQ61" s="39">
        <f t="shared" ca="1" si="105"/>
        <v>4765.2635662782977</v>
      </c>
      <c r="AR61" s="39">
        <f t="shared" ca="1" si="105"/>
        <v>0</v>
      </c>
      <c r="AT61" s="41"/>
      <c r="AU61" s="39">
        <f t="shared" ca="1" si="106"/>
        <v>4815.6339806049791</v>
      </c>
      <c r="AV61" s="39">
        <f t="shared" ca="1" si="106"/>
        <v>19262.535922419916</v>
      </c>
      <c r="AW61" s="39">
        <f t="shared" ca="1" si="106"/>
        <v>3521.3499542130098</v>
      </c>
      <c r="AX61" s="39">
        <f t="shared" ca="1" si="106"/>
        <v>1005.4981850789408</v>
      </c>
      <c r="AY61" s="39">
        <f t="shared" ca="1" si="106"/>
        <v>3515.9553162134494</v>
      </c>
      <c r="AZ61" s="39">
        <f t="shared" ca="1" si="106"/>
        <v>27536.934663790918</v>
      </c>
      <c r="BA61" s="39">
        <f t="shared" ca="1" si="106"/>
        <v>10547.865948640349</v>
      </c>
      <c r="BB61" s="39">
        <f t="shared" ca="1" si="106"/>
        <v>2157.8551998241346</v>
      </c>
      <c r="BC61" s="39">
        <f t="shared" ca="1" si="106"/>
        <v>6743.297499450422</v>
      </c>
    </row>
    <row r="62" spans="1:55" x14ac:dyDescent="0.35">
      <c r="B62" s="9" t="s">
        <v>77</v>
      </c>
      <c r="C62" s="9"/>
      <c r="D62" s="202">
        <v>5.7000000000000002E-2</v>
      </c>
      <c r="E62" s="22">
        <v>0</v>
      </c>
      <c r="F62" s="105">
        <f t="shared" ca="1" si="101"/>
        <v>5.7000000000000002E-2</v>
      </c>
      <c r="G62" s="29">
        <f ca="1">$D$62*$G$10</f>
        <v>253585.13400000002</v>
      </c>
      <c r="H62" s="11">
        <f t="shared" ca="1" si="107"/>
        <v>96910.488000000012</v>
      </c>
      <c r="I62" s="11">
        <f t="shared" ca="1" si="107"/>
        <v>56372.942999999999</v>
      </c>
      <c r="J62" s="11">
        <f t="shared" ca="1" si="107"/>
        <v>100301.70300000001</v>
      </c>
      <c r="M62" s="39">
        <f t="shared" ca="1" si="103"/>
        <v>18424.737861333339</v>
      </c>
      <c r="N62" s="39">
        <f t="shared" ca="1" si="103"/>
        <v>73698.951445333354</v>
      </c>
      <c r="O62" s="39">
        <f t="shared" ca="1" si="103"/>
        <v>27172.185000000001</v>
      </c>
      <c r="P62" s="39">
        <f t="shared" ca="1" si="103"/>
        <v>20456.434360000007</v>
      </c>
      <c r="Q62" s="39">
        <f t="shared" ca="1" si="103"/>
        <v>8968.0950000000012</v>
      </c>
      <c r="R62" s="39">
        <f t="shared" ca="1" si="103"/>
        <v>69431.820333333337</v>
      </c>
      <c r="S62" s="39">
        <f t="shared" ca="1" si="103"/>
        <v>13373.91</v>
      </c>
      <c r="T62" s="39">
        <f t="shared" ca="1" si="103"/>
        <v>13509</v>
      </c>
      <c r="U62" s="39">
        <f t="shared" ca="1" si="103"/>
        <v>8550.0000000000018</v>
      </c>
      <c r="X62" s="41"/>
      <c r="Y62" s="39">
        <f t="shared" ca="1" si="104"/>
        <v>7181.6329200000009</v>
      </c>
      <c r="Z62" s="39">
        <f t="shared" ca="1" si="104"/>
        <v>28726.531680000004</v>
      </c>
      <c r="AA62" s="39">
        <f t="shared" ca="1" si="104"/>
        <v>13929.375000000002</v>
      </c>
      <c r="AB62" s="39">
        <f t="shared" ca="1" si="104"/>
        <v>11860.799400000004</v>
      </c>
      <c r="AC62" s="39">
        <f t="shared" ca="1" si="104"/>
        <v>4510.125</v>
      </c>
      <c r="AD62" s="39">
        <f t="shared" ca="1" si="104"/>
        <v>25971.024000000005</v>
      </c>
      <c r="AE62" s="39">
        <f t="shared" ca="1" si="104"/>
        <v>0</v>
      </c>
      <c r="AF62" s="39">
        <f t="shared" ca="1" si="104"/>
        <v>4731</v>
      </c>
      <c r="AG62" s="39">
        <f t="shared" ca="1" si="104"/>
        <v>0</v>
      </c>
      <c r="AI62" s="41"/>
      <c r="AJ62" s="39">
        <f t="shared" ca="1" si="105"/>
        <v>5137.2389999999996</v>
      </c>
      <c r="AK62" s="39">
        <f t="shared" ca="1" si="105"/>
        <v>20548.955999999998</v>
      </c>
      <c r="AL62" s="39">
        <f t="shared" ca="1" si="105"/>
        <v>8778</v>
      </c>
      <c r="AM62" s="39">
        <f t="shared" ca="1" si="105"/>
        <v>7320.7380000000003</v>
      </c>
      <c r="AN62" s="39">
        <f t="shared" ca="1" si="105"/>
        <v>0</v>
      </c>
      <c r="AO62" s="39">
        <f t="shared" ca="1" si="105"/>
        <v>8546.01</v>
      </c>
      <c r="AP62" s="39">
        <f t="shared" ca="1" si="105"/>
        <v>0</v>
      </c>
      <c r="AQ62" s="39">
        <f t="shared" ca="1" si="105"/>
        <v>6042</v>
      </c>
      <c r="AR62" s="39">
        <f t="shared" ca="1" si="105"/>
        <v>0</v>
      </c>
      <c r="AT62" s="41"/>
      <c r="AU62" s="39">
        <f t="shared" ca="1" si="106"/>
        <v>6105.8659413333362</v>
      </c>
      <c r="AV62" s="39">
        <f t="shared" ca="1" si="106"/>
        <v>24423.463765333345</v>
      </c>
      <c r="AW62" s="39">
        <f t="shared" ca="1" si="106"/>
        <v>4464.8100000000004</v>
      </c>
      <c r="AX62" s="39">
        <f t="shared" ca="1" si="106"/>
        <v>1274.89696</v>
      </c>
      <c r="AY62" s="39">
        <f t="shared" ca="1" si="106"/>
        <v>4457.97</v>
      </c>
      <c r="AZ62" s="39">
        <f t="shared" ca="1" si="106"/>
        <v>34914.78633333333</v>
      </c>
      <c r="BA62" s="39">
        <f t="shared" ca="1" si="106"/>
        <v>13373.91</v>
      </c>
      <c r="BB62" s="39">
        <f t="shared" ca="1" si="106"/>
        <v>2736</v>
      </c>
      <c r="BC62" s="39">
        <f t="shared" ca="1" si="106"/>
        <v>8550.0000000000018</v>
      </c>
    </row>
    <row r="63" spans="1:55" x14ac:dyDescent="0.35">
      <c r="B63" s="9" t="s">
        <v>78</v>
      </c>
      <c r="C63" s="9"/>
      <c r="D63" s="107">
        <v>0.05</v>
      </c>
      <c r="E63" s="22">
        <v>0.5</v>
      </c>
      <c r="F63" s="105">
        <f t="shared" ca="1" si="101"/>
        <v>0.65336973864490744</v>
      </c>
      <c r="G63" s="21">
        <f ca="1">+SUM(G49:G62)*D63</f>
        <v>2906751.8022072604</v>
      </c>
      <c r="H63" s="34">
        <f t="shared" ca="1" si="107"/>
        <v>1110848.7757282534</v>
      </c>
      <c r="I63" s="34">
        <f t="shared" ca="1" si="107"/>
        <v>646182.01815007487</v>
      </c>
      <c r="J63" s="34">
        <f t="shared" ca="1" si="107"/>
        <v>1149721.0083289321</v>
      </c>
      <c r="K63" s="34"/>
      <c r="L63" s="34"/>
      <c r="M63" s="39">
        <f t="shared" ca="1" si="103"/>
        <v>211195.89756246126</v>
      </c>
      <c r="N63" s="39">
        <f t="shared" ca="1" si="103"/>
        <v>844783.59024984506</v>
      </c>
      <c r="O63" s="39">
        <f t="shared" ca="1" si="103"/>
        <v>311464.62126072065</v>
      </c>
      <c r="P63" s="39">
        <f t="shared" ca="1" si="103"/>
        <v>234484.47669122645</v>
      </c>
      <c r="Q63" s="39">
        <f t="shared" ca="1" si="103"/>
        <v>102797.92782969651</v>
      </c>
      <c r="R63" s="39">
        <f t="shared" ca="1" si="103"/>
        <v>795871.05797947664</v>
      </c>
      <c r="S63" s="39">
        <f t="shared" ca="1" si="103"/>
        <v>153300.14177825462</v>
      </c>
      <c r="T63" s="39">
        <f t="shared" ca="1" si="103"/>
        <v>154848.62805884308</v>
      </c>
      <c r="U63" s="39">
        <f t="shared" ca="1" si="103"/>
        <v>98005.460796736123</v>
      </c>
      <c r="X63" s="34"/>
      <c r="Y63" s="39">
        <f t="shared" ca="1" si="104"/>
        <v>82320.379368141468</v>
      </c>
      <c r="Z63" s="39">
        <f t="shared" ca="1" si="104"/>
        <v>329281.51747256587</v>
      </c>
      <c r="AA63" s="39">
        <f t="shared" ca="1" si="104"/>
        <v>159667.22988134928</v>
      </c>
      <c r="AB63" s="39">
        <f t="shared" ca="1" si="104"/>
        <v>135955.91937013468</v>
      </c>
      <c r="AC63" s="39">
        <f t="shared" ca="1" si="104"/>
        <v>51697.880570278307</v>
      </c>
      <c r="AD63" s="39">
        <f t="shared" ca="1" si="104"/>
        <v>297696.1607582565</v>
      </c>
      <c r="AE63" s="39">
        <f t="shared" ca="1" si="104"/>
        <v>0</v>
      </c>
      <c r="AF63" s="39">
        <f t="shared" ca="1" si="104"/>
        <v>54229.688307527322</v>
      </c>
      <c r="AG63" s="39">
        <f t="shared" ca="1" si="104"/>
        <v>0</v>
      </c>
      <c r="AI63" s="34"/>
      <c r="AJ63" s="39">
        <f t="shared" ca="1" si="105"/>
        <v>58886.254434849579</v>
      </c>
      <c r="AK63" s="39">
        <f t="shared" ca="1" si="105"/>
        <v>235545.01773939832</v>
      </c>
      <c r="AL63" s="39">
        <f t="shared" ca="1" si="105"/>
        <v>100618.93975131575</v>
      </c>
      <c r="AM63" s="39">
        <f t="shared" ca="1" si="105"/>
        <v>83914.889013120061</v>
      </c>
      <c r="AN63" s="39">
        <f t="shared" ca="1" si="105"/>
        <v>0</v>
      </c>
      <c r="AO63" s="39">
        <f t="shared" ca="1" si="105"/>
        <v>97959.72491503098</v>
      </c>
      <c r="AP63" s="39">
        <f t="shared" ca="1" si="105"/>
        <v>0</v>
      </c>
      <c r="AQ63" s="39">
        <f t="shared" ca="1" si="105"/>
        <v>69257.192296360197</v>
      </c>
      <c r="AR63" s="39">
        <f t="shared" ca="1" si="105"/>
        <v>0</v>
      </c>
      <c r="AT63" s="34"/>
      <c r="AU63" s="39">
        <f t="shared" ca="1" si="106"/>
        <v>69989.263759470225</v>
      </c>
      <c r="AV63" s="39">
        <f t="shared" ca="1" si="106"/>
        <v>279957.0550378809</v>
      </c>
      <c r="AW63" s="39">
        <f t="shared" ca="1" si="106"/>
        <v>51178.451628055598</v>
      </c>
      <c r="AX63" s="39">
        <f t="shared" ca="1" si="106"/>
        <v>14613.668307971702</v>
      </c>
      <c r="AY63" s="39">
        <f t="shared" ca="1" si="106"/>
        <v>51100.047259418207</v>
      </c>
      <c r="AZ63" s="39">
        <f t="shared" ca="1" si="106"/>
        <v>400215.17230618914</v>
      </c>
      <c r="BA63" s="39">
        <f t="shared" ca="1" si="106"/>
        <v>153300.14177825462</v>
      </c>
      <c r="BB63" s="39">
        <f t="shared" ca="1" si="106"/>
        <v>31361.747454955555</v>
      </c>
      <c r="BC63" s="39">
        <f t="shared" ca="1" si="106"/>
        <v>98005.460796736123</v>
      </c>
    </row>
    <row r="64" spans="1:55" x14ac:dyDescent="0.35">
      <c r="B64" s="12" t="s">
        <v>79</v>
      </c>
      <c r="C64" s="12"/>
      <c r="D64" s="12"/>
      <c r="E64" s="12"/>
      <c r="F64" s="106">
        <f t="shared" ca="1" si="101"/>
        <v>13.720764511543056</v>
      </c>
      <c r="G64" s="13">
        <f ca="1">+SUM(G49:G63)</f>
        <v>61041787.846352465</v>
      </c>
      <c r="H64" s="129">
        <f ca="1">+SUM(H49:H63)</f>
        <v>23359191.388517704</v>
      </c>
      <c r="I64" s="129">
        <f ca="1">+SUM(I49:I63)</f>
        <v>13372221.469901217</v>
      </c>
      <c r="J64" s="129">
        <f ca="1">+SUM(J49:J63)</f>
        <v>24310374.98793355</v>
      </c>
      <c r="M64" s="129">
        <f t="shared" ref="M64:U64" ca="1" si="108">+SUM(M49:M63)</f>
        <v>4429550.5415340886</v>
      </c>
      <c r="N64" s="129">
        <f t="shared" ca="1" si="108"/>
        <v>17718202.166136354</v>
      </c>
      <c r="O64" s="129">
        <f t="shared" ca="1" si="108"/>
        <v>6521896.2472202852</v>
      </c>
      <c r="P64" s="129">
        <f t="shared" ca="1" si="108"/>
        <v>4904464.9685730776</v>
      </c>
      <c r="Q64" s="129">
        <f t="shared" ca="1" si="108"/>
        <v>2167604.6429351196</v>
      </c>
      <c r="R64" s="129">
        <f t="shared" ca="1" si="108"/>
        <v>16749608.02996771</v>
      </c>
      <c r="S64" s="129">
        <f t="shared" ca="1" si="108"/>
        <v>3241468.0651521375</v>
      </c>
      <c r="T64" s="129">
        <f t="shared" ca="1" si="108"/>
        <v>3236708.2691246122</v>
      </c>
      <c r="U64" s="129">
        <f t="shared" ca="1" si="108"/>
        <v>2072284.9157090769</v>
      </c>
      <c r="X64" s="34">
        <f ca="1">+SUM(Y64:AG64)</f>
        <v>23359191.388517696</v>
      </c>
      <c r="Y64" s="129">
        <f t="shared" ref="Y64:AG64" ca="1" si="109">+SUM(Y49:Y63)</f>
        <v>1731052.4518291478</v>
      </c>
      <c r="Z64" s="129">
        <f t="shared" ca="1" si="109"/>
        <v>6924209.807316591</v>
      </c>
      <c r="AA64" s="129">
        <f t="shared" ca="1" si="109"/>
        <v>3357520.3598957607</v>
      </c>
      <c r="AB64" s="129">
        <f t="shared" ca="1" si="109"/>
        <v>2858913.3015759443</v>
      </c>
      <c r="AC64" s="129">
        <f t="shared" ca="1" si="109"/>
        <v>1087115.2878844072</v>
      </c>
      <c r="AD64" s="129">
        <f t="shared" ca="1" si="109"/>
        <v>6260025.4388543209</v>
      </c>
      <c r="AE64" s="129">
        <f t="shared" ca="1" si="109"/>
        <v>0</v>
      </c>
      <c r="AF64" s="129">
        <f t="shared" ca="1" si="109"/>
        <v>1140354.7411615262</v>
      </c>
      <c r="AG64" s="129">
        <f t="shared" ca="1" si="109"/>
        <v>0</v>
      </c>
      <c r="AH64" s="34"/>
      <c r="AI64" s="34">
        <f ca="1">+SUM(AJ64:AR64)</f>
        <v>13372221.469901219</v>
      </c>
      <c r="AJ64" s="129">
        <f t="shared" ref="AJ64:AR64" ca="1" si="110">+SUM(AJ49:AJ63)</f>
        <v>1218604.0677672953</v>
      </c>
      <c r="AK64" s="129">
        <f t="shared" ca="1" si="110"/>
        <v>4874416.2710691812</v>
      </c>
      <c r="AL64" s="129">
        <f t="shared" ca="1" si="110"/>
        <v>2082228.7043412453</v>
      </c>
      <c r="AM64" s="129">
        <f t="shared" ca="1" si="110"/>
        <v>1736551.6974893734</v>
      </c>
      <c r="AN64" s="129">
        <f t="shared" ca="1" si="110"/>
        <v>0</v>
      </c>
      <c r="AO64" s="129">
        <f t="shared" ca="1" si="110"/>
        <v>2027198.3742979411</v>
      </c>
      <c r="AP64" s="129">
        <f t="shared" ca="1" si="110"/>
        <v>0</v>
      </c>
      <c r="AQ64" s="129">
        <f t="shared" ca="1" si="110"/>
        <v>1433222.354936182</v>
      </c>
      <c r="AR64" s="129">
        <f t="shared" ca="1" si="110"/>
        <v>0</v>
      </c>
      <c r="AT64" s="34">
        <f ca="1">+SUM(AU64:BC64)</f>
        <v>24310374.987933554</v>
      </c>
      <c r="AU64" s="129">
        <f t="shared" ref="AU64:BC64" ca="1" si="111">+SUM(AU49:AU63)</f>
        <v>1479894.0219376464</v>
      </c>
      <c r="AV64" s="129">
        <f t="shared" ca="1" si="111"/>
        <v>5919576.0877505857</v>
      </c>
      <c r="AW64" s="129">
        <f t="shared" ca="1" si="111"/>
        <v>1082147.1829832799</v>
      </c>
      <c r="AX64" s="129">
        <f t="shared" ca="1" si="111"/>
        <v>308999.96950776112</v>
      </c>
      <c r="AY64" s="129">
        <f t="shared" ca="1" si="111"/>
        <v>1080489.3550507126</v>
      </c>
      <c r="AZ64" s="129">
        <f t="shared" ca="1" si="111"/>
        <v>8462384.2168154474</v>
      </c>
      <c r="BA64" s="129">
        <f t="shared" ca="1" si="111"/>
        <v>3241468.0651521375</v>
      </c>
      <c r="BB64" s="129">
        <f t="shared" ca="1" si="111"/>
        <v>663131.17302690435</v>
      </c>
      <c r="BC64" s="129">
        <f t="shared" ca="1" si="111"/>
        <v>2072284.9157090769</v>
      </c>
    </row>
    <row r="65" spans="2:55" x14ac:dyDescent="0.35">
      <c r="B65" s="9"/>
      <c r="C65" s="9"/>
      <c r="D65" s="9"/>
      <c r="E65" s="9"/>
      <c r="F65" s="9"/>
      <c r="G65" s="9"/>
      <c r="H65" s="9"/>
      <c r="I65" s="9"/>
      <c r="J65" s="9"/>
      <c r="M65" s="33"/>
      <c r="N65" s="33"/>
      <c r="O65" s="33"/>
      <c r="P65" s="33"/>
      <c r="Q65" s="33"/>
      <c r="R65" s="33"/>
      <c r="S65" s="33"/>
      <c r="T65" s="33"/>
      <c r="U65" s="33"/>
      <c r="X65" s="41"/>
      <c r="Y65" s="33"/>
      <c r="Z65" s="33"/>
      <c r="AA65" s="33"/>
      <c r="AB65" s="33"/>
      <c r="AC65" s="33"/>
      <c r="AD65" s="33"/>
      <c r="AE65" s="33"/>
      <c r="AF65" s="33"/>
      <c r="AG65" s="33"/>
      <c r="AI65" s="41"/>
      <c r="AJ65" s="33"/>
      <c r="AK65" s="33"/>
      <c r="AL65" s="33"/>
      <c r="AM65" s="33"/>
      <c r="AN65" s="33"/>
      <c r="AO65" s="33"/>
      <c r="AP65" s="33"/>
      <c r="AQ65" s="33"/>
      <c r="AR65" s="33"/>
      <c r="AT65" s="41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2:55" ht="32.25" customHeight="1" x14ac:dyDescent="0.35">
      <c r="B66" s="15" t="s">
        <v>80</v>
      </c>
      <c r="C66" s="16"/>
      <c r="D66" s="16"/>
      <c r="E66" s="16"/>
      <c r="F66" s="16"/>
      <c r="G66" s="15" t="s">
        <v>17</v>
      </c>
      <c r="H66" s="23" t="str">
        <f>+H$22</f>
        <v>I</v>
      </c>
      <c r="I66" s="23" t="str">
        <f t="shared" ref="I66:J66" si="112">+I$22</f>
        <v>II</v>
      </c>
      <c r="J66" s="46" t="str">
        <f t="shared" si="112"/>
        <v>III</v>
      </c>
      <c r="M66" s="214" t="str">
        <f t="shared" ref="M66:U66" ca="1" si="113">+M$22</f>
        <v>Affordable Residential</v>
      </c>
      <c r="N66" s="214" t="str">
        <f t="shared" ca="1" si="113"/>
        <v>Market Rate Residential</v>
      </c>
      <c r="O66" s="214" t="str">
        <f t="shared" ca="1" si="113"/>
        <v>Retail</v>
      </c>
      <c r="P66" s="214" t="str">
        <f t="shared" ca="1" si="113"/>
        <v>Hotel</v>
      </c>
      <c r="Q66" s="214" t="str">
        <f t="shared" ca="1" si="113"/>
        <v>Community Facility</v>
      </c>
      <c r="R66" s="214" t="str">
        <f t="shared" ca="1" si="113"/>
        <v>Office</v>
      </c>
      <c r="S66" s="214" t="str">
        <f t="shared" ca="1" si="113"/>
        <v>Industrial</v>
      </c>
      <c r="T66" s="214" t="str">
        <f t="shared" ca="1" si="113"/>
        <v>Structural Parking</v>
      </c>
      <c r="U66" s="214" t="str">
        <f t="shared" ca="1" si="113"/>
        <v>Surface Parking</v>
      </c>
      <c r="X66" s="41"/>
      <c r="Y66" s="214" t="str">
        <f t="shared" ref="Y66:AG66" ca="1" si="114">+Y$22</f>
        <v>Affordable Residential</v>
      </c>
      <c r="Z66" s="214" t="str">
        <f t="shared" ca="1" si="114"/>
        <v>Market Rate Residential</v>
      </c>
      <c r="AA66" s="214" t="str">
        <f t="shared" ca="1" si="114"/>
        <v>Retail</v>
      </c>
      <c r="AB66" s="214" t="str">
        <f t="shared" ca="1" si="114"/>
        <v>Hotel</v>
      </c>
      <c r="AC66" s="214" t="str">
        <f t="shared" ca="1" si="114"/>
        <v>Community Facility</v>
      </c>
      <c r="AD66" s="214" t="str">
        <f t="shared" ca="1" si="114"/>
        <v>Office</v>
      </c>
      <c r="AE66" s="214" t="str">
        <f t="shared" ca="1" si="114"/>
        <v>Industrial</v>
      </c>
      <c r="AF66" s="214" t="str">
        <f t="shared" ca="1" si="114"/>
        <v>Structural Parking</v>
      </c>
      <c r="AG66" s="214" t="str">
        <f t="shared" ca="1" si="114"/>
        <v>Surface Parking</v>
      </c>
      <c r="AI66" s="41"/>
      <c r="AJ66" s="214" t="str">
        <f t="shared" ref="AJ66:AR66" ca="1" si="115">+AJ$22</f>
        <v>Affordable Residential</v>
      </c>
      <c r="AK66" s="214" t="str">
        <f t="shared" ca="1" si="115"/>
        <v>Market Rate Residential</v>
      </c>
      <c r="AL66" s="214" t="str">
        <f t="shared" ca="1" si="115"/>
        <v>Retail</v>
      </c>
      <c r="AM66" s="214" t="str">
        <f t="shared" ca="1" si="115"/>
        <v>Hotel</v>
      </c>
      <c r="AN66" s="214" t="str">
        <f t="shared" ca="1" si="115"/>
        <v>Community Facility</v>
      </c>
      <c r="AO66" s="214" t="str">
        <f t="shared" ca="1" si="115"/>
        <v>Office</v>
      </c>
      <c r="AP66" s="214" t="str">
        <f t="shared" ca="1" si="115"/>
        <v>Industrial</v>
      </c>
      <c r="AQ66" s="214" t="str">
        <f t="shared" ca="1" si="115"/>
        <v>Structural Parking</v>
      </c>
      <c r="AR66" s="214" t="str">
        <f t="shared" ca="1" si="115"/>
        <v>Surface Parking</v>
      </c>
      <c r="AT66" s="41"/>
      <c r="AU66" s="214" t="str">
        <f t="shared" ref="AU66:BC66" ca="1" si="116">+AU$22</f>
        <v>Affordable Residential</v>
      </c>
      <c r="AV66" s="214" t="str">
        <f t="shared" ca="1" si="116"/>
        <v>Market Rate Residential</v>
      </c>
      <c r="AW66" s="214" t="str">
        <f t="shared" ca="1" si="116"/>
        <v>Retail</v>
      </c>
      <c r="AX66" s="214" t="str">
        <f t="shared" ca="1" si="116"/>
        <v>Hotel</v>
      </c>
      <c r="AY66" s="214" t="str">
        <f t="shared" ca="1" si="116"/>
        <v>Community Facility</v>
      </c>
      <c r="AZ66" s="214" t="str">
        <f t="shared" ca="1" si="116"/>
        <v>Office</v>
      </c>
      <c r="BA66" s="214" t="str">
        <f t="shared" ca="1" si="116"/>
        <v>Industrial</v>
      </c>
      <c r="BB66" s="214" t="str">
        <f t="shared" ca="1" si="116"/>
        <v>Structural Parking</v>
      </c>
      <c r="BC66" s="214" t="str">
        <f t="shared" ca="1" si="116"/>
        <v>Surface Parking</v>
      </c>
    </row>
    <row r="67" spans="2:55" x14ac:dyDescent="0.35">
      <c r="B67" s="9" t="s">
        <v>81</v>
      </c>
      <c r="C67" s="9"/>
      <c r="D67" s="9"/>
      <c r="E67" s="22"/>
      <c r="F67" s="105">
        <f t="shared" ref="F67:F71" ca="1" si="117">+G67/$G$10</f>
        <v>1.3688022854862931</v>
      </c>
      <c r="G67" s="48">
        <f ca="1">+SUM(H67:J67)</f>
        <v>6089612.473413121</v>
      </c>
      <c r="H67" s="34">
        <f ca="1">+Assumptions!N146*'S&amp;U'!H17</f>
        <v>2397868.1525509921</v>
      </c>
      <c r="I67" s="34">
        <f ca="1">+Assumptions!O146*'S&amp;U'!I17</f>
        <v>1330459.8639422178</v>
      </c>
      <c r="J67" s="34">
        <f ca="1">+Assumptions!P146*'S&amp;U'!J17</f>
        <v>2361284.4569199109</v>
      </c>
      <c r="K67" s="34"/>
      <c r="L67" s="34"/>
      <c r="M67" s="34">
        <f ca="1">$G67*('Loan Sizing'!$E$5/'Loan Sizing'!$E$63)</f>
        <v>92007.285128500822</v>
      </c>
      <c r="N67" s="34">
        <f ca="1">$G67*('Loan Sizing'!$E$6/'Loan Sizing'!$E$63)</f>
        <v>2017269.3924910165</v>
      </c>
      <c r="O67" s="34">
        <f ca="1">$G67*('Loan Sizing'!$E$7/'Loan Sizing'!$E$63)</f>
        <v>714387.57812918955</v>
      </c>
      <c r="P67" s="34">
        <f ca="1">$G67*('Loan Sizing'!$E$31/'Loan Sizing'!$E$63)</f>
        <v>747666.4681326875</v>
      </c>
      <c r="Q67" s="34">
        <f ca="1">$G67*('Loan Sizing'!$E$8/'Loan Sizing'!$E$63)</f>
        <v>77186.41419017101</v>
      </c>
      <c r="R67" s="34">
        <f ca="1">$G67*('Loan Sizing'!$E$9/'Loan Sizing'!$E$63)</f>
        <v>2065146.2742170889</v>
      </c>
      <c r="S67" s="34">
        <f ca="1">$G67*('Loan Sizing'!$E$47/'Loan Sizing'!$E$63)</f>
        <v>293482.78911459609</v>
      </c>
      <c r="T67" s="34">
        <f ca="1">$G67*('Loan Sizing'!$E$10/'Loan Sizing'!$E$63)*SUM(T$11:T$19)/SUM($T$11:$U$19)</f>
        <v>50502.600688214894</v>
      </c>
      <c r="U67" s="34">
        <f ca="1">$G67*('Loan Sizing'!$E$10/'Loan Sizing'!$E$63)*SUM(U$11:U$19)/SUM($T$11:$U$19)</f>
        <v>31963.671321654998</v>
      </c>
      <c r="X67" s="34"/>
      <c r="Y67" s="34">
        <f ca="1">$H67*('Loan Sizing'!$F$5/'Loan Sizing'!$F$63)</f>
        <v>42833.392168080507</v>
      </c>
      <c r="Z67" s="34">
        <f ca="1">$H67*('Loan Sizing'!$F$6/'Loan Sizing'!$F$63)</f>
        <v>783705.25230668299</v>
      </c>
      <c r="AA67" s="34">
        <f ca="1">$H67*('Loan Sizing'!$F$7/'Loan Sizing'!$F$63)</f>
        <v>358010.50252499786</v>
      </c>
      <c r="AB67" s="34">
        <f ca="1">$H67*('Loan Sizing'!$F$31/'Loan Sizing'!$F$63)</f>
        <v>446896.10351844598</v>
      </c>
      <c r="AC67" s="34">
        <f ca="1">$H67*('Loan Sizing'!$F$8/'Loan Sizing'!$F$63)</f>
        <v>15649.415872225354</v>
      </c>
      <c r="AD67" s="34">
        <f ca="1">$H67*('Loan Sizing'!$F$9/'Loan Sizing'!$F$63)</f>
        <v>733767.0382438855</v>
      </c>
      <c r="AE67" s="34">
        <f ca="1">$H67*('Loan Sizing'!$F$47/'Loan Sizing'!$F$63)</f>
        <v>1.1924035645732753E-6</v>
      </c>
      <c r="AF67" s="34">
        <f ca="1">$H67*('Loan Sizing'!$F$10/'Loan Sizing'!$F$63)*SUM(AF$11:AF$19)/SUM($AF$11:$AG$19)</f>
        <v>17006.447915481316</v>
      </c>
      <c r="AG67" s="34">
        <f ca="1">$H67*('Loan Sizing'!$F$10/'Loan Sizing'!$F$63)*SUM(AG$11:AG$19)/SUM($AF$11:$AG$19)</f>
        <v>0</v>
      </c>
      <c r="AI67" s="34"/>
      <c r="AJ67" s="34">
        <f ca="1">$I67*('Loan Sizing'!$G$5/'Loan Sizing'!$G$63)</f>
        <v>21724.944313989294</v>
      </c>
      <c r="AK67" s="34">
        <f ca="1">$I67*('Loan Sizing'!$G$6/'Loan Sizing'!$G$63)</f>
        <v>541312.17055646086</v>
      </c>
      <c r="AL67" s="34">
        <f ca="1">$I67*('Loan Sizing'!$G$7/'Loan Sizing'!$G$63)</f>
        <v>236924.81656823447</v>
      </c>
      <c r="AM67" s="34">
        <f ca="1">$I67*('Loan Sizing'!$G$31/'Loan Sizing'!$G$63)</f>
        <v>268441.94643913646</v>
      </c>
      <c r="AN67" s="34">
        <f ca="1">$I67*('Loan Sizing'!$G$8/'Loan Sizing'!$G$63)</f>
        <v>0</v>
      </c>
      <c r="AO67" s="34">
        <f ca="1">$I67*('Loan Sizing'!$G$9/'Loan Sizing'!$G$63)</f>
        <v>240429.01306409974</v>
      </c>
      <c r="AP67" s="34">
        <f ca="1">$I67*('Loan Sizing'!$G$47/'Loan Sizing'!$G$63)</f>
        <v>1.1873468856714167E-6</v>
      </c>
      <c r="AQ67" s="34">
        <f ca="1">$I67*('Loan Sizing'!$G$10/'Loan Sizing'!$G$63)*SUM(AQ$11:AQ$19)/SUM($AQ$11:$AR$19)</f>
        <v>21626.972999109632</v>
      </c>
      <c r="AR67" s="34">
        <f ca="1">$I67*('Loan Sizing'!$G$10/'Loan Sizing'!$G$63)*SUM(AR$11:AR$19)/SUM($AQ$11:$AR$19)</f>
        <v>0</v>
      </c>
      <c r="AT67" s="34"/>
      <c r="AU67" s="34">
        <f ca="1">$J67*('Loan Sizing'!$H$5/'Loan Sizing'!$H$63)</f>
        <v>27823.260501830995</v>
      </c>
      <c r="AV67" s="34">
        <f ca="1">$J67*('Loan Sizing'!$H$6/'Loan Sizing'!$H$63)</f>
        <v>692831.20859409822</v>
      </c>
      <c r="AW67" s="34">
        <f ca="1">$J67*('Loan Sizing'!$H$7/'Loan Sizing'!$H$63)</f>
        <v>124509.66566328012</v>
      </c>
      <c r="AX67" s="34">
        <f ca="1">$J67*('Loan Sizing'!$H$31/'Loan Sizing'!$H$63)</f>
        <v>41745.266500979589</v>
      </c>
      <c r="AY67" s="34">
        <f ca="1">$J67*('Loan Sizing'!$H$8/'Loan Sizing'!$H$63)</f>
        <v>60549.79347631758</v>
      </c>
      <c r="AZ67" s="34">
        <f ca="1">$J67*('Loan Sizing'!$H$9/'Loan Sizing'!$H$63)</f>
        <v>1084260.0136925587</v>
      </c>
      <c r="BA67" s="34">
        <f ca="1">$J67*('Loan Sizing'!$H$47/'Loan Sizing'!$H$63)</f>
        <v>286524.11887309479</v>
      </c>
      <c r="BB67" s="34">
        <f ca="1">$J67*('Loan Sizing'!$H$10/'Loan Sizing'!$H$63)*SUM(BB$11:BB$19)/SUM($BB$11:$BC$19)</f>
        <v>10434.213240666819</v>
      </c>
      <c r="BC67" s="34">
        <f ca="1">$J67*('Loan Sizing'!$H$10/'Loan Sizing'!$H$63)*SUM(BC$11:BC$19)/SUM($BB$11:$BC$19)</f>
        <v>32606.916377083806</v>
      </c>
    </row>
    <row r="68" spans="2:55" x14ac:dyDescent="0.35">
      <c r="B68" s="9" t="s">
        <v>260</v>
      </c>
      <c r="C68" s="9"/>
      <c r="D68" s="9"/>
      <c r="E68" s="22"/>
      <c r="F68" s="105">
        <f t="shared" ca="1" si="117"/>
        <v>11.906138056081014</v>
      </c>
      <c r="G68" s="48">
        <f ca="1">+SUM(H68:J68)</f>
        <v>52968765.164452694</v>
      </c>
      <c r="H68" s="34">
        <f ca="1">+Assumptions!N145*Assumptions!N147*'S&amp;U'!H17*(Assumptions!F$25/12)</f>
        <v>20573708.748887513</v>
      </c>
      <c r="I68" s="34">
        <f ca="1">+Assumptions!O145*Assumptions!O147*'S&amp;U'!I17*(Assumptions!G$25/12)</f>
        <v>11674785.306092963</v>
      </c>
      <c r="J68" s="34">
        <f ca="1">+Assumptions!P145*Assumptions!P147*'S&amp;U'!J17*(Assumptions!H$25/12)</f>
        <v>20720271.109472219</v>
      </c>
      <c r="K68" s="34"/>
      <c r="L68" s="34"/>
      <c r="M68" s="34">
        <f ca="1">$G68*('Loan Sizing'!$E$5/'Loan Sizing'!$E$63)</f>
        <v>800299.24739346886</v>
      </c>
      <c r="N68" s="34">
        <f ca="1">$G68*('Loan Sizing'!$E$6/'Loan Sizing'!$E$63)</f>
        <v>17546645.076481525</v>
      </c>
      <c r="O68" s="34">
        <f ca="1">$G68*('Loan Sizing'!$E$7/'Loan Sizing'!$E$63)</f>
        <v>6213897.5226314133</v>
      </c>
      <c r="P68" s="34">
        <f ca="1">$G68*('Loan Sizing'!$E$31/'Loan Sizing'!$E$63)</f>
        <v>6503364.498933265</v>
      </c>
      <c r="Q68" s="34">
        <f ca="1">$G68*('Loan Sizing'!$E$8/'Loan Sizing'!$E$63)</f>
        <v>671384.10941178212</v>
      </c>
      <c r="R68" s="34">
        <f ca="1">$G68*('Loan Sizing'!$E$9/'Loan Sizing'!$E$63)</f>
        <v>17963088.539185684</v>
      </c>
      <c r="S68" s="34">
        <f ca="1">$G68*('Loan Sizing'!$E$47/'Loan Sizing'!$E$63)</f>
        <v>2552776.7167927353</v>
      </c>
      <c r="T68" s="34">
        <f ca="1">$G68*('Loan Sizing'!$E$10/'Loan Sizing'!$E$63)*SUM(T$11:T$19)/SUM($T$11:$U$19)</f>
        <v>439282.53361397522</v>
      </c>
      <c r="U68" s="34">
        <f ca="1">$G68*('Loan Sizing'!$E$10/'Loan Sizing'!$E$63)*SUM(U$11:U$19)/SUM($T$11:$U$19)</f>
        <v>278026.92000884505</v>
      </c>
      <c r="X68" s="34"/>
      <c r="Y68" s="34">
        <f ca="1">$H68*('Loan Sizing'!$F$5/'Loan Sizing'!$F$63)</f>
        <v>367510.50480213074</v>
      </c>
      <c r="Z68" s="34">
        <f ca="1">$H68*('Loan Sizing'!$F$6/'Loan Sizing'!$F$63)</f>
        <v>6724191.0647913404</v>
      </c>
      <c r="AA68" s="34">
        <f ca="1">$H68*('Loan Sizing'!$F$7/'Loan Sizing'!$F$63)</f>
        <v>3071730.1116644815</v>
      </c>
      <c r="AB68" s="34">
        <f ca="1">$H68*('Loan Sizing'!$F$31/'Loan Sizing'!$F$63)</f>
        <v>3834368.5681882664</v>
      </c>
      <c r="AC68" s="34">
        <f ca="1">$H68*('Loan Sizing'!$F$8/'Loan Sizing'!$F$63)</f>
        <v>134271.98818369355</v>
      </c>
      <c r="AD68" s="34">
        <f ca="1">$H68*('Loan Sizing'!$F$9/'Loan Sizing'!$F$63)</f>
        <v>6295721.1881325385</v>
      </c>
      <c r="AE68" s="34">
        <f ca="1">$H68*('Loan Sizing'!$F$47/'Loan Sizing'!$F$63)</f>
        <v>1.0230822584038703E-5</v>
      </c>
      <c r="AF68" s="34">
        <f ca="1">$H68*('Loan Sizing'!$F$10/'Loan Sizing'!$F$63)*SUM(AF$11:AF$19)/SUM($AF$11:$AG$19)</f>
        <v>145915.32311482969</v>
      </c>
      <c r="AG68" s="34">
        <f ca="1">$H68*('Loan Sizing'!$F$10/'Loan Sizing'!$F$63)*SUM(AG$11:AG$19)/SUM($AF$11:$AG$19)</f>
        <v>0</v>
      </c>
      <c r="AI68" s="34"/>
      <c r="AJ68" s="34">
        <f ca="1">$I68*('Loan Sizing'!$G$5/'Loan Sizing'!$G$63)</f>
        <v>190636.38635525608</v>
      </c>
      <c r="AK68" s="34">
        <f ca="1">$I68*('Loan Sizing'!$G$6/'Loan Sizing'!$G$63)</f>
        <v>4750014.2966329446</v>
      </c>
      <c r="AL68" s="34">
        <f ca="1">$I68*('Loan Sizing'!$G$7/'Loan Sizing'!$G$63)</f>
        <v>2079015.2653862576</v>
      </c>
      <c r="AM68" s="34">
        <f ca="1">$I68*('Loan Sizing'!$G$31/'Loan Sizing'!$G$63)</f>
        <v>2355578.0800034227</v>
      </c>
      <c r="AN68" s="34">
        <f ca="1">$I68*('Loan Sizing'!$G$8/'Loan Sizing'!$G$63)</f>
        <v>0</v>
      </c>
      <c r="AO68" s="34">
        <f ca="1">$I68*('Loan Sizing'!$G$9/'Loan Sizing'!$G$63)</f>
        <v>2109764.5896374756</v>
      </c>
      <c r="AP68" s="34">
        <f ca="1">$I68*('Loan Sizing'!$G$47/'Loan Sizing'!$G$63)</f>
        <v>1.0418968921766683E-5</v>
      </c>
      <c r="AQ68" s="34">
        <f ca="1">$I68*('Loan Sizing'!$G$10/'Loan Sizing'!$G$63)*SUM(AQ$11:AQ$19)/SUM($AQ$11:$AR$19)</f>
        <v>189776.68806718709</v>
      </c>
      <c r="AR68" s="34">
        <f ca="1">$I68*('Loan Sizing'!$G$10/'Loan Sizing'!$G$63)*SUM(AR$11:AR$19)/SUM($AQ$11:$AR$19)</f>
        <v>0</v>
      </c>
      <c r="AT68" s="34"/>
      <c r="AU68" s="34">
        <f ca="1">$J68*('Loan Sizing'!$H$5/'Loan Sizing'!$H$63)</f>
        <v>244149.11090356699</v>
      </c>
      <c r="AV68" s="34">
        <f ca="1">$J68*('Loan Sizing'!$H$6/'Loan Sizing'!$H$63)</f>
        <v>6079593.8554132124</v>
      </c>
      <c r="AW68" s="34">
        <f ca="1">$J68*('Loan Sizing'!$H$7/'Loan Sizing'!$H$63)</f>
        <v>1092572.3161952831</v>
      </c>
      <c r="AX68" s="34">
        <f ca="1">$J68*('Loan Sizing'!$H$31/'Loan Sizing'!$H$63)</f>
        <v>366314.71354609594</v>
      </c>
      <c r="AY68" s="34">
        <f ca="1">$J68*('Loan Sizing'!$H$8/'Loan Sizing'!$H$63)</f>
        <v>531324.43775468681</v>
      </c>
      <c r="AZ68" s="34">
        <f ca="1">$J68*('Loan Sizing'!$H$9/'Loan Sizing'!$H$63)</f>
        <v>9514381.6201522034</v>
      </c>
      <c r="BA68" s="34">
        <f ca="1">$J68*('Loan Sizing'!$H$47/'Loan Sizing'!$H$63)</f>
        <v>2514249.1431114068</v>
      </c>
      <c r="BB68" s="34">
        <f ca="1">$J68*('Loan Sizing'!$H$10/'Loan Sizing'!$H$63)*SUM(BB$11:BB$19)/SUM($BB$11:$BC$19)</f>
        <v>91560.221186851326</v>
      </c>
      <c r="BC68" s="34">
        <f ca="1">$J68*('Loan Sizing'!$H$10/'Loan Sizing'!$H$63)*SUM(BC$11:BC$19)/SUM($BB$11:$BC$19)</f>
        <v>286125.69120891043</v>
      </c>
    </row>
    <row r="69" spans="2:55" s="41" customFormat="1" x14ac:dyDescent="0.35">
      <c r="B69" s="33" t="s">
        <v>187</v>
      </c>
      <c r="C69" s="33"/>
      <c r="D69" s="33"/>
      <c r="E69" s="44"/>
      <c r="F69" s="105">
        <f ca="1">+G69/$G$10</f>
        <v>0.40920333444103946</v>
      </c>
      <c r="G69" s="48">
        <f ca="1">+SUM(H69:J69)</f>
        <v>1820489.1648680323</v>
      </c>
      <c r="H69" s="34">
        <f ca="1">+Assumptions!N170*'S&amp;U'!H18</f>
        <v>741897.67741794826</v>
      </c>
      <c r="I69" s="34">
        <f ca="1">+Assumptions!O170*'S&amp;U'!I18</f>
        <v>435849.12158747989</v>
      </c>
      <c r="J69" s="34">
        <f ca="1">+Assumptions!P170*'S&amp;U'!J18</f>
        <v>642742.36586260353</v>
      </c>
      <c r="M69" s="34">
        <f ca="1">$G69*('Loan Sizing'!$E$5/'Loan Sizing'!$E$63)</f>
        <v>27505.570575573845</v>
      </c>
      <c r="N69" s="34">
        <f ca="1">$G69*('Loan Sizing'!$E$6/'Loan Sizing'!$E$63)</f>
        <v>603062.52453392791</v>
      </c>
      <c r="O69" s="34">
        <f ca="1">$G69*('Loan Sizing'!$E$7/'Loan Sizing'!$E$63)</f>
        <v>213566.10969557764</v>
      </c>
      <c r="P69" s="34">
        <f ca="1">$G69*('Loan Sizing'!$E$31/'Loan Sizing'!$E$63)</f>
        <v>223514.83121680887</v>
      </c>
      <c r="Q69" s="34">
        <f ca="1">$G69*('Loan Sizing'!$E$8/'Loan Sizing'!$E$63)</f>
        <v>23074.872386660285</v>
      </c>
      <c r="R69" s="34">
        <f ca="1">$G69*('Loan Sizing'!$E$9/'Loan Sizing'!$E$63)</f>
        <v>617375.31452023913</v>
      </c>
      <c r="S69" s="34">
        <f ca="1">$G69*('Loan Sizing'!$E$47/'Loan Sizing'!$E$63)</f>
        <v>87736.656477077282</v>
      </c>
      <c r="T69" s="34">
        <f ca="1">$G69*('Loan Sizing'!$E$10/'Loan Sizing'!$E$63)*SUM(T$11:T$19)/SUM($T$11:$U$19)</f>
        <v>15097.74846132723</v>
      </c>
      <c r="U69" s="34">
        <f ca="1">$G69*('Loan Sizing'!$E$10/'Loan Sizing'!$E$63)*SUM(U$11:U$19)/SUM($T$11:$U$19)</f>
        <v>9555.5370008400187</v>
      </c>
      <c r="Y69" s="34">
        <f ca="1">$H69*('Loan Sizing'!$F$5/'Loan Sizing'!$F$63)</f>
        <v>13252.602788699529</v>
      </c>
      <c r="Z69" s="34">
        <f ca="1">$H69*('Loan Sizing'!$F$6/'Loan Sizing'!$F$63)</f>
        <v>242477.51313933462</v>
      </c>
      <c r="AA69" s="34">
        <f ca="1">$H69*('Loan Sizing'!$F$7/'Loan Sizing'!$F$63)</f>
        <v>110768.0420343212</v>
      </c>
      <c r="AB69" s="34">
        <f ca="1">$H69*('Loan Sizing'!$F$31/'Loan Sizing'!$F$63)</f>
        <v>138269.14582219315</v>
      </c>
      <c r="AC69" s="34">
        <f ca="1">$H69*('Loan Sizing'!$F$8/'Loan Sizing'!$F$63)</f>
        <v>4841.9114604778779</v>
      </c>
      <c r="AD69" s="34">
        <f ca="1">$H69*('Loan Sizing'!$F$9/'Loan Sizing'!$F$63)</f>
        <v>227026.68654231145</v>
      </c>
      <c r="AE69" s="34">
        <f ca="1">$H69*('Loan Sizing'!$F$47/'Loan Sizing'!$F$63)</f>
        <v>3.6892830582059414E-7</v>
      </c>
      <c r="AF69" s="34">
        <f ca="1">$H69*('Loan Sizing'!$F$10/'Loan Sizing'!$F$63)*SUM(AF$11:AF$19)/SUM($AF$11:$AG$19)</f>
        <v>5261.7756302414491</v>
      </c>
      <c r="AG69" s="34">
        <f ca="1">$H69*('Loan Sizing'!$F$10/'Loan Sizing'!$F$63)*SUM(AG$11:AG$19)/SUM($AF$11:$AG$19)</f>
        <v>0</v>
      </c>
      <c r="AJ69" s="34">
        <f ca="1">$I69*('Loan Sizing'!$G$5/'Loan Sizing'!$G$63)</f>
        <v>7116.9361454712644</v>
      </c>
      <c r="AK69" s="34">
        <f ca="1">$I69*('Loan Sizing'!$G$6/'Loan Sizing'!$G$63)</f>
        <v>177329.98975449894</v>
      </c>
      <c r="AL69" s="34">
        <f ca="1">$I69*('Loan Sizing'!$G$7/'Loan Sizing'!$G$63)</f>
        <v>77614.872858746035</v>
      </c>
      <c r="AM69" s="34">
        <f ca="1">$I69*('Loan Sizing'!$G$31/'Loan Sizing'!$G$63)</f>
        <v>87939.658853032714</v>
      </c>
      <c r="AN69" s="34">
        <f ca="1">$I69*('Loan Sizing'!$G$8/'Loan Sizing'!$G$63)</f>
        <v>0</v>
      </c>
      <c r="AO69" s="34">
        <f ca="1">$I69*('Loan Sizing'!$G$9/'Loan Sizing'!$G$63)</f>
        <v>78762.822530874706</v>
      </c>
      <c r="AP69" s="34">
        <f ca="1">$I69*('Loan Sizing'!$G$47/'Loan Sizing'!$G$63)</f>
        <v>3.8896633499798101E-7</v>
      </c>
      <c r="AQ69" s="34">
        <f ca="1">$I69*('Loan Sizing'!$G$10/'Loan Sizing'!$G$63)*SUM(AQ$11:AQ$19)/SUM($AQ$11:$AR$19)</f>
        <v>7084.841444467248</v>
      </c>
      <c r="AR69" s="34">
        <f ca="1">$I69*('Loan Sizing'!$G$10/'Loan Sizing'!$G$63)*SUM(AR$11:AR$19)/SUM($AQ$11:$AR$19)</f>
        <v>0</v>
      </c>
      <c r="AU69" s="34">
        <f ca="1">$J69*('Loan Sizing'!$H$5/'Loan Sizing'!$H$63)</f>
        <v>7573.5001890815975</v>
      </c>
      <c r="AV69" s="34">
        <f ca="1">$J69*('Loan Sizing'!$H$6/'Loan Sizing'!$H$63)</f>
        <v>188588.87113333572</v>
      </c>
      <c r="AW69" s="34">
        <f ca="1">$J69*('Loan Sizing'!$H$7/'Loan Sizing'!$H$63)</f>
        <v>33891.569838886542</v>
      </c>
      <c r="AX69" s="34">
        <f ca="1">$J69*('Loan Sizing'!$H$31/'Loan Sizing'!$H$63)</f>
        <v>11363.074565528541</v>
      </c>
      <c r="AY69" s="34">
        <f ca="1">$J69*('Loan Sizing'!$H$8/'Loan Sizing'!$H$63)</f>
        <v>16481.672674975136</v>
      </c>
      <c r="AZ69" s="34">
        <f ca="1">$J69*('Loan Sizing'!$H$9/'Loan Sizing'!$H$63)</f>
        <v>295135.91400166118</v>
      </c>
      <c r="BA69" s="34">
        <f ca="1">$J69*('Loan Sizing'!$H$47/'Loan Sizing'!$H$63)</f>
        <v>77991.95454892925</v>
      </c>
      <c r="BB69" s="34">
        <f ca="1">$J69*('Loan Sizing'!$H$10/'Loan Sizing'!$H$63)*SUM(BB$11:BB$19)/SUM($BB$11:$BC$19)</f>
        <v>2840.1960994437541</v>
      </c>
      <c r="BC69" s="34">
        <f ca="1">$J69*('Loan Sizing'!$H$10/'Loan Sizing'!$H$63)*SUM(BC$11:BC$19)/SUM($BB$11:$BC$19)</f>
        <v>8875.6128107617315</v>
      </c>
    </row>
    <row r="70" spans="2:55" s="41" customFormat="1" x14ac:dyDescent="0.35">
      <c r="B70" s="33" t="s">
        <v>259</v>
      </c>
      <c r="C70" s="33"/>
      <c r="D70" s="33"/>
      <c r="E70" s="44"/>
      <c r="F70" s="105">
        <f t="shared" ca="1" si="117"/>
        <v>2.4552200066462366</v>
      </c>
      <c r="G70" s="48">
        <f ca="1">+SUM(H70:J70)</f>
        <v>10922934.989208192</v>
      </c>
      <c r="H70" s="34">
        <f ca="1">+'S&amp;U'!H18*Assumptions!N168*Assumptions!N171*(Assumptions!F25)/12</f>
        <v>4451386.0645076893</v>
      </c>
      <c r="I70" s="34">
        <f ca="1">+'S&amp;U'!I18*Assumptions!O168*Assumptions!O171*(Assumptions!G25)/12</f>
        <v>2615094.7295248793</v>
      </c>
      <c r="J70" s="34">
        <f ca="1">+'S&amp;U'!J18*Assumptions!P168*Assumptions!P171*(Assumptions!H25)/12</f>
        <v>3856454.1951756212</v>
      </c>
      <c r="M70" s="34">
        <f ca="1">$G70*('Loan Sizing'!$E$5/'Loan Sizing'!$E$63)</f>
        <v>165033.42345344304</v>
      </c>
      <c r="N70" s="34">
        <f ca="1">$G70*('Loan Sizing'!$E$6/'Loan Sizing'!$E$63)</f>
        <v>3618375.147203567</v>
      </c>
      <c r="O70" s="34">
        <f ca="1">$G70*('Loan Sizing'!$E$7/'Loan Sizing'!$E$63)</f>
        <v>1281396.6581734656</v>
      </c>
      <c r="P70" s="34">
        <f ca="1">$G70*('Loan Sizing'!$E$31/'Loan Sizing'!$E$63)</f>
        <v>1341088.9873008528</v>
      </c>
      <c r="Q70" s="34">
        <f ca="1">$G70*('Loan Sizing'!$E$8/'Loan Sizing'!$E$63)</f>
        <v>138449.23431996169</v>
      </c>
      <c r="R70" s="34">
        <f ca="1">$G70*('Loan Sizing'!$E$9/'Loan Sizing'!$E$63)</f>
        <v>3704251.8871214339</v>
      </c>
      <c r="S70" s="34">
        <f ca="1">$G70*('Loan Sizing'!$E$47/'Loan Sizing'!$E$63)</f>
        <v>526419.93886246358</v>
      </c>
      <c r="T70" s="34">
        <f ca="1">$G70*('Loan Sizing'!$E$10/'Loan Sizing'!$E$63)*SUM(T$11:T$19)/SUM($T$11:$U$19)</f>
        <v>90586.490767963362</v>
      </c>
      <c r="U70" s="34">
        <f ca="1">$G70*('Loan Sizing'!$E$10/'Loan Sizing'!$E$63)*SUM(U$11:U$19)/SUM($T$11:$U$19)</f>
        <v>57333.222005040101</v>
      </c>
      <c r="Y70" s="34">
        <f ca="1">$H70*('Loan Sizing'!$F$5/'Loan Sizing'!$F$63)</f>
        <v>79515.616732197173</v>
      </c>
      <c r="Z70" s="34">
        <f ca="1">$H70*('Loan Sizing'!$F$6/'Loan Sizing'!$F$63)</f>
        <v>1454865.0788360077</v>
      </c>
      <c r="AA70" s="34">
        <f ca="1">$H70*('Loan Sizing'!$F$7/'Loan Sizing'!$F$63)</f>
        <v>664608.25220592716</v>
      </c>
      <c r="AB70" s="34">
        <f ca="1">$H70*('Loan Sizing'!$F$31/'Loan Sizing'!$F$63)</f>
        <v>829614.87493315886</v>
      </c>
      <c r="AC70" s="34">
        <f ca="1">$H70*('Loan Sizing'!$F$8/'Loan Sizing'!$F$63)</f>
        <v>29051.468762867265</v>
      </c>
      <c r="AD70" s="34">
        <f ca="1">$H70*('Loan Sizing'!$F$9/'Loan Sizing'!$F$63)</f>
        <v>1362160.1192538685</v>
      </c>
      <c r="AE70" s="34">
        <f ca="1">$H70*('Loan Sizing'!$F$47/'Loan Sizing'!$F$63)</f>
        <v>2.2135698349235648E-6</v>
      </c>
      <c r="AF70" s="34">
        <f ca="1">$H70*('Loan Sizing'!$F$10/'Loan Sizing'!$F$63)*SUM(AF$11:AF$19)/SUM($AF$11:$AG$19)</f>
        <v>31570.653781448698</v>
      </c>
      <c r="AG70" s="34">
        <f ca="1">$H70*('Loan Sizing'!$F$10/'Loan Sizing'!$F$63)*SUM(AG$11:AG$19)/SUM($AF$11:$AG$19)</f>
        <v>0</v>
      </c>
      <c r="AJ70" s="34">
        <f ca="1">$I70*('Loan Sizing'!$G$5/'Loan Sizing'!$G$63)</f>
        <v>42701.616872827588</v>
      </c>
      <c r="AK70" s="34">
        <f ca="1">$I70*('Loan Sizing'!$G$6/'Loan Sizing'!$G$63)</f>
        <v>1063979.9385269936</v>
      </c>
      <c r="AL70" s="34">
        <f ca="1">$I70*('Loan Sizing'!$G$7/'Loan Sizing'!$G$63)</f>
        <v>465689.23715247621</v>
      </c>
      <c r="AM70" s="34">
        <f ca="1">$I70*('Loan Sizing'!$G$31/'Loan Sizing'!$G$63)</f>
        <v>527637.95311819622</v>
      </c>
      <c r="AN70" s="34">
        <f ca="1">$I70*('Loan Sizing'!$G$8/'Loan Sizing'!$G$63)</f>
        <v>0</v>
      </c>
      <c r="AO70" s="34">
        <f ca="1">$I70*('Loan Sizing'!$G$9/'Loan Sizing'!$G$63)</f>
        <v>472576.93518524821</v>
      </c>
      <c r="AP70" s="34">
        <f ca="1">$I70*('Loan Sizing'!$G$47/'Loan Sizing'!$G$63)</f>
        <v>2.3337980099878859E-6</v>
      </c>
      <c r="AQ70" s="34">
        <f ca="1">$I70*('Loan Sizing'!$G$10/'Loan Sizing'!$G$63)*SUM(AQ$11:AQ$19)/SUM($AQ$11:$AR$19)</f>
        <v>42509.048666803479</v>
      </c>
      <c r="AR70" s="34">
        <f ca="1">$I70*('Loan Sizing'!$G$10/'Loan Sizing'!$G$63)*SUM(AR$11:AR$19)/SUM($AQ$11:$AR$19)</f>
        <v>0</v>
      </c>
      <c r="AU70" s="34">
        <f ca="1">$J70*('Loan Sizing'!$H$5/'Loan Sizing'!$H$63)</f>
        <v>45441.001134489583</v>
      </c>
      <c r="AV70" s="34">
        <f ca="1">$J70*('Loan Sizing'!$H$6/'Loan Sizing'!$H$63)</f>
        <v>1131533.2268000143</v>
      </c>
      <c r="AW70" s="34">
        <f ca="1">$J70*('Loan Sizing'!$H$7/'Loan Sizing'!$H$63)</f>
        <v>203349.41903331922</v>
      </c>
      <c r="AX70" s="34">
        <f ca="1">$J70*('Loan Sizing'!$H$31/'Loan Sizing'!$H$63)</f>
        <v>68178.447393171242</v>
      </c>
      <c r="AY70" s="34">
        <f ca="1">$J70*('Loan Sizing'!$H$8/'Loan Sizing'!$H$63)</f>
        <v>98890.036049850809</v>
      </c>
      <c r="AZ70" s="34">
        <f ca="1">$J70*('Loan Sizing'!$H$9/'Loan Sizing'!$H$63)</f>
        <v>1770815.4840099672</v>
      </c>
      <c r="BA70" s="34">
        <f ca="1">$J70*('Loan Sizing'!$H$47/'Loan Sizing'!$H$63)</f>
        <v>467951.72729357553</v>
      </c>
      <c r="BB70" s="34">
        <f ca="1">$J70*('Loan Sizing'!$H$10/'Loan Sizing'!$H$63)*SUM(BB$11:BB$19)/SUM($BB$11:$BC$19)</f>
        <v>17041.176596662524</v>
      </c>
      <c r="BC70" s="34">
        <f ca="1">$J70*('Loan Sizing'!$H$10/'Loan Sizing'!$H$63)*SUM(BC$11:BC$19)/SUM($BB$11:$BC$19)</f>
        <v>53253.676864570385</v>
      </c>
    </row>
    <row r="71" spans="2:55" x14ac:dyDescent="0.35">
      <c r="B71" s="12" t="s">
        <v>82</v>
      </c>
      <c r="C71" s="12"/>
      <c r="D71" s="12"/>
      <c r="E71" s="12"/>
      <c r="F71" s="106">
        <f t="shared" ca="1" si="117"/>
        <v>16.139363682654583</v>
      </c>
      <c r="G71" s="13">
        <f ca="1">+SUM(G67:G70)</f>
        <v>71801801.79194203</v>
      </c>
      <c r="H71" s="129">
        <f ca="1">+SUM(H67:H70)</f>
        <v>28164860.643364143</v>
      </c>
      <c r="I71" s="129">
        <f ca="1">+SUM(I67:I70)</f>
        <v>16056189.021147538</v>
      </c>
      <c r="J71" s="129">
        <f ca="1">+SUM(J67:J70)</f>
        <v>27580752.127430357</v>
      </c>
      <c r="K71" s="108"/>
      <c r="M71" s="129">
        <f t="shared" ref="M71:U71" ca="1" si="118">+SUM(M67:M70)</f>
        <v>1084845.5265509866</v>
      </c>
      <c r="N71" s="129">
        <f t="shared" ca="1" si="118"/>
        <v>23785352.140710037</v>
      </c>
      <c r="O71" s="129">
        <f t="shared" ca="1" si="118"/>
        <v>8423247.8686296474</v>
      </c>
      <c r="P71" s="129">
        <f t="shared" ca="1" si="118"/>
        <v>8815634.7855836134</v>
      </c>
      <c r="Q71" s="129">
        <f t="shared" ca="1" si="118"/>
        <v>910094.63030857523</v>
      </c>
      <c r="R71" s="129">
        <f t="shared" ca="1" si="118"/>
        <v>24349862.015044447</v>
      </c>
      <c r="S71" s="129">
        <f t="shared" ca="1" si="118"/>
        <v>3460416.1012468725</v>
      </c>
      <c r="T71" s="129">
        <f t="shared" ca="1" si="118"/>
        <v>595469.37353148067</v>
      </c>
      <c r="U71" s="129">
        <f t="shared" ca="1" si="118"/>
        <v>376879.35033638013</v>
      </c>
      <c r="X71" s="34">
        <f ca="1">+SUM(Y71:AG71)</f>
        <v>28164860.643364139</v>
      </c>
      <c r="Y71" s="129">
        <f t="shared" ref="Y71:AG71" ca="1" si="119">+SUM(Y67:Y70)</f>
        <v>503112.11649110791</v>
      </c>
      <c r="Z71" s="129">
        <f t="shared" ca="1" si="119"/>
        <v>9205238.9090733659</v>
      </c>
      <c r="AA71" s="129">
        <f t="shared" ca="1" si="119"/>
        <v>4205116.9084297279</v>
      </c>
      <c r="AB71" s="129">
        <f t="shared" ca="1" si="119"/>
        <v>5249148.6924620643</v>
      </c>
      <c r="AC71" s="129">
        <f t="shared" ca="1" si="119"/>
        <v>183814.78427926407</v>
      </c>
      <c r="AD71" s="129">
        <f t="shared" ca="1" si="119"/>
        <v>8618675.0321726035</v>
      </c>
      <c r="AE71" s="129">
        <f t="shared" ca="1" si="119"/>
        <v>1.4005724289356137E-5</v>
      </c>
      <c r="AF71" s="129">
        <f t="shared" ca="1" si="119"/>
        <v>199754.20044200114</v>
      </c>
      <c r="AG71" s="129">
        <f t="shared" ca="1" si="119"/>
        <v>0</v>
      </c>
      <c r="AH71" s="34"/>
      <c r="AI71" s="34">
        <f ca="1">+SUM(AJ71:AR71)</f>
        <v>16056189.02114754</v>
      </c>
      <c r="AJ71" s="129">
        <f t="shared" ref="AJ71:AR71" ca="1" si="120">+SUM(AJ67:AJ70)</f>
        <v>262179.88368754421</v>
      </c>
      <c r="AK71" s="129">
        <f t="shared" ca="1" si="120"/>
        <v>6532636.3954708977</v>
      </c>
      <c r="AL71" s="129">
        <f t="shared" ca="1" si="120"/>
        <v>2859244.1919657146</v>
      </c>
      <c r="AM71" s="129">
        <f t="shared" ca="1" si="120"/>
        <v>3239597.6384137878</v>
      </c>
      <c r="AN71" s="129">
        <f t="shared" ca="1" si="120"/>
        <v>0</v>
      </c>
      <c r="AO71" s="129">
        <f t="shared" ca="1" si="120"/>
        <v>2901533.360417698</v>
      </c>
      <c r="AP71" s="129">
        <f t="shared" ca="1" si="120"/>
        <v>1.4329080152423967E-5</v>
      </c>
      <c r="AQ71" s="129">
        <f t="shared" ca="1" si="120"/>
        <v>260997.55117756745</v>
      </c>
      <c r="AR71" s="129">
        <f t="shared" ca="1" si="120"/>
        <v>0</v>
      </c>
      <c r="AT71" s="34">
        <f ca="1">+SUM(AU71:BC71)</f>
        <v>27580752.12743035</v>
      </c>
      <c r="AU71" s="129">
        <f t="shared" ref="AU71:BC71" ca="1" si="121">+SUM(AU67:AU70)</f>
        <v>324986.8727289692</v>
      </c>
      <c r="AV71" s="129">
        <f t="shared" ca="1" si="121"/>
        <v>8092547.1619406603</v>
      </c>
      <c r="AW71" s="129">
        <f t="shared" ca="1" si="121"/>
        <v>1454322.970730769</v>
      </c>
      <c r="AX71" s="129">
        <f t="shared" ca="1" si="121"/>
        <v>487601.50200577534</v>
      </c>
      <c r="AY71" s="129">
        <f t="shared" ca="1" si="121"/>
        <v>707245.93995583034</v>
      </c>
      <c r="AZ71" s="129">
        <f t="shared" ca="1" si="121"/>
        <v>12664593.031856392</v>
      </c>
      <c r="BA71" s="129">
        <f t="shared" ca="1" si="121"/>
        <v>3346716.9438270065</v>
      </c>
      <c r="BB71" s="129">
        <f t="shared" ca="1" si="121"/>
        <v>121875.80712362443</v>
      </c>
      <c r="BC71" s="129">
        <f t="shared" ca="1" si="121"/>
        <v>380861.89726132632</v>
      </c>
    </row>
    <row r="72" spans="2:55" x14ac:dyDescent="0.35">
      <c r="B72" s="9"/>
      <c r="C72" s="9"/>
      <c r="D72" s="9"/>
      <c r="E72" s="9"/>
      <c r="F72" s="9"/>
      <c r="G72" s="9"/>
      <c r="H72" s="9"/>
      <c r="I72" s="9"/>
      <c r="J72" s="9"/>
      <c r="M72" s="33"/>
      <c r="N72" s="33"/>
      <c r="O72" s="33"/>
      <c r="P72" s="33"/>
      <c r="Q72" s="33"/>
      <c r="R72" s="33"/>
      <c r="S72" s="33"/>
      <c r="T72" s="33"/>
      <c r="U72" s="33"/>
      <c r="X72" s="41"/>
      <c r="Y72" s="33"/>
      <c r="Z72" s="33"/>
      <c r="AA72" s="33"/>
      <c r="AB72" s="33"/>
      <c r="AC72" s="33"/>
      <c r="AD72" s="33"/>
      <c r="AE72" s="33"/>
      <c r="AF72" s="33"/>
      <c r="AG72" s="33"/>
      <c r="AI72" s="41"/>
      <c r="AJ72" s="33"/>
      <c r="AK72" s="33"/>
      <c r="AL72" s="33"/>
      <c r="AM72" s="33"/>
      <c r="AN72" s="33"/>
      <c r="AO72" s="33"/>
      <c r="AP72" s="33"/>
      <c r="AQ72" s="33"/>
      <c r="AR72" s="33"/>
      <c r="AT72" s="41"/>
      <c r="AU72" s="33"/>
      <c r="AV72" s="33"/>
      <c r="AW72" s="33"/>
      <c r="AX72" s="33"/>
      <c r="AY72" s="33"/>
      <c r="AZ72" s="33"/>
      <c r="BA72" s="33"/>
      <c r="BB72" s="33"/>
      <c r="BC72" s="33"/>
    </row>
    <row r="73" spans="2:55" ht="32.25" customHeight="1" x14ac:dyDescent="0.35">
      <c r="B73" s="15" t="s">
        <v>83</v>
      </c>
      <c r="C73" s="16"/>
      <c r="D73" s="16"/>
      <c r="E73" s="16"/>
      <c r="F73" s="16"/>
      <c r="G73" s="15" t="s">
        <v>17</v>
      </c>
      <c r="H73" s="23" t="str">
        <f>+H$22</f>
        <v>I</v>
      </c>
      <c r="I73" s="23" t="str">
        <f t="shared" ref="I73:J73" si="122">+I$22</f>
        <v>II</v>
      </c>
      <c r="J73" s="46" t="str">
        <f t="shared" si="122"/>
        <v>III</v>
      </c>
      <c r="M73" s="214" t="str">
        <f t="shared" ref="M73:U73" ca="1" si="123">+M$22</f>
        <v>Affordable Residential</v>
      </c>
      <c r="N73" s="214" t="str">
        <f t="shared" ca="1" si="123"/>
        <v>Market Rate Residential</v>
      </c>
      <c r="O73" s="214" t="str">
        <f t="shared" ca="1" si="123"/>
        <v>Retail</v>
      </c>
      <c r="P73" s="214" t="str">
        <f t="shared" ca="1" si="123"/>
        <v>Hotel</v>
      </c>
      <c r="Q73" s="214" t="str">
        <f t="shared" ca="1" si="123"/>
        <v>Community Facility</v>
      </c>
      <c r="R73" s="214" t="str">
        <f t="shared" ca="1" si="123"/>
        <v>Office</v>
      </c>
      <c r="S73" s="214" t="str">
        <f t="shared" ca="1" si="123"/>
        <v>Industrial</v>
      </c>
      <c r="T73" s="214" t="str">
        <f t="shared" ca="1" si="123"/>
        <v>Structural Parking</v>
      </c>
      <c r="U73" s="214" t="str">
        <f t="shared" ca="1" si="123"/>
        <v>Surface Parking</v>
      </c>
      <c r="X73" s="41"/>
      <c r="Y73" s="214" t="str">
        <f t="shared" ref="Y73:AG73" ca="1" si="124">+Y$22</f>
        <v>Affordable Residential</v>
      </c>
      <c r="Z73" s="214" t="str">
        <f t="shared" ca="1" si="124"/>
        <v>Market Rate Residential</v>
      </c>
      <c r="AA73" s="214" t="str">
        <f t="shared" ca="1" si="124"/>
        <v>Retail</v>
      </c>
      <c r="AB73" s="214" t="str">
        <f t="shared" ca="1" si="124"/>
        <v>Hotel</v>
      </c>
      <c r="AC73" s="214" t="str">
        <f t="shared" ca="1" si="124"/>
        <v>Community Facility</v>
      </c>
      <c r="AD73" s="214" t="str">
        <f t="shared" ca="1" si="124"/>
        <v>Office</v>
      </c>
      <c r="AE73" s="214" t="str">
        <f t="shared" ca="1" si="124"/>
        <v>Industrial</v>
      </c>
      <c r="AF73" s="214" t="str">
        <f t="shared" ca="1" si="124"/>
        <v>Structural Parking</v>
      </c>
      <c r="AG73" s="214" t="str">
        <f t="shared" ca="1" si="124"/>
        <v>Surface Parking</v>
      </c>
      <c r="AI73" s="41"/>
      <c r="AJ73" s="214" t="str">
        <f t="shared" ref="AJ73:AR73" ca="1" si="125">+AJ$22</f>
        <v>Affordable Residential</v>
      </c>
      <c r="AK73" s="214" t="str">
        <f t="shared" ca="1" si="125"/>
        <v>Market Rate Residential</v>
      </c>
      <c r="AL73" s="214" t="str">
        <f t="shared" ca="1" si="125"/>
        <v>Retail</v>
      </c>
      <c r="AM73" s="214" t="str">
        <f t="shared" ca="1" si="125"/>
        <v>Hotel</v>
      </c>
      <c r="AN73" s="214" t="str">
        <f t="shared" ca="1" si="125"/>
        <v>Community Facility</v>
      </c>
      <c r="AO73" s="214" t="str">
        <f t="shared" ca="1" si="125"/>
        <v>Office</v>
      </c>
      <c r="AP73" s="214" t="str">
        <f t="shared" ca="1" si="125"/>
        <v>Industrial</v>
      </c>
      <c r="AQ73" s="214" t="str">
        <f t="shared" ca="1" si="125"/>
        <v>Structural Parking</v>
      </c>
      <c r="AR73" s="214" t="str">
        <f t="shared" ca="1" si="125"/>
        <v>Surface Parking</v>
      </c>
      <c r="AT73" s="41"/>
      <c r="AU73" s="214" t="str">
        <f t="shared" ref="AU73:BC73" ca="1" si="126">+AU$22</f>
        <v>Affordable Residential</v>
      </c>
      <c r="AV73" s="214" t="str">
        <f t="shared" ca="1" si="126"/>
        <v>Market Rate Residential</v>
      </c>
      <c r="AW73" s="214" t="str">
        <f t="shared" ca="1" si="126"/>
        <v>Retail</v>
      </c>
      <c r="AX73" s="214" t="str">
        <f t="shared" ca="1" si="126"/>
        <v>Hotel</v>
      </c>
      <c r="AY73" s="214" t="str">
        <f t="shared" ca="1" si="126"/>
        <v>Community Facility</v>
      </c>
      <c r="AZ73" s="214" t="str">
        <f t="shared" ca="1" si="126"/>
        <v>Office</v>
      </c>
      <c r="BA73" s="214" t="str">
        <f t="shared" ca="1" si="126"/>
        <v>Industrial</v>
      </c>
      <c r="BB73" s="214" t="str">
        <f t="shared" ca="1" si="126"/>
        <v>Structural Parking</v>
      </c>
      <c r="BC73" s="214" t="str">
        <f t="shared" ca="1" si="126"/>
        <v>Surface Parking</v>
      </c>
    </row>
    <row r="74" spans="2:55" x14ac:dyDescent="0.35">
      <c r="B74" s="9" t="s">
        <v>84</v>
      </c>
      <c r="C74" s="9"/>
      <c r="D74" s="9"/>
      <c r="E74" s="22"/>
      <c r="F74" s="105">
        <f t="shared" ref="F74:F76" ca="1" si="127">+G74/$G$10</f>
        <v>0.22477658331501404</v>
      </c>
      <c r="G74" s="48">
        <v>1000000</v>
      </c>
      <c r="H74" s="11">
        <f t="shared" ref="H74:J75" ca="1" si="128">+$G74*H$20</f>
        <v>382161.55052685388</v>
      </c>
      <c r="I74" s="11">
        <f t="shared" ca="1" si="128"/>
        <v>222303.81612196556</v>
      </c>
      <c r="J74" s="11">
        <f t="shared" ca="1" si="128"/>
        <v>395534.63335118059</v>
      </c>
      <c r="M74" s="39">
        <f t="shared" ref="M74:U75" ca="1" si="129">+$H74*M$5+$I74*M$6+$J74*M$7</f>
        <v>72657.010963952387</v>
      </c>
      <c r="N74" s="39">
        <f t="shared" ca="1" si="129"/>
        <v>290628.04385580955</v>
      </c>
      <c r="O74" s="39">
        <f t="shared" ca="1" si="129"/>
        <v>107152.12114918377</v>
      </c>
      <c r="P74" s="39">
        <f t="shared" ca="1" si="129"/>
        <v>80668.902144713269</v>
      </c>
      <c r="Q74" s="39">
        <f t="shared" ca="1" si="129"/>
        <v>35365.223735867738</v>
      </c>
      <c r="R74" s="39">
        <f t="shared" ca="1" si="129"/>
        <v>273800.83066436113</v>
      </c>
      <c r="S74" s="39">
        <f t="shared" ca="1" si="129"/>
        <v>52739.329743201743</v>
      </c>
      <c r="T74" s="39">
        <f t="shared" ca="1" si="129"/>
        <v>53272.05024565832</v>
      </c>
      <c r="U74" s="39">
        <f t="shared" ca="1" si="129"/>
        <v>33716.487497252107</v>
      </c>
      <c r="X74" s="41"/>
      <c r="Y74" s="39">
        <f t="shared" ref="Y74:AG75" ca="1" si="130">+$H74*Y$5+$I74*Y$6+$J74*Y$7</f>
        <v>28320.401936495226</v>
      </c>
      <c r="Z74" s="39">
        <f t="shared" ca="1" si="130"/>
        <v>113281.6077459809</v>
      </c>
      <c r="AA74" s="39">
        <f t="shared" ca="1" si="130"/>
        <v>54929.777547606565</v>
      </c>
      <c r="AB74" s="39">
        <f t="shared" ca="1" si="130"/>
        <v>46772.455517838054</v>
      </c>
      <c r="AC74" s="39">
        <f t="shared" ca="1" si="130"/>
        <v>17785.447154800488</v>
      </c>
      <c r="AD74" s="39">
        <f t="shared" ca="1" si="130"/>
        <v>102415.4042089865</v>
      </c>
      <c r="AE74" s="39">
        <f t="shared" ca="1" si="130"/>
        <v>0</v>
      </c>
      <c r="AF74" s="39">
        <f t="shared" ca="1" si="130"/>
        <v>18656.456415146167</v>
      </c>
      <c r="AG74" s="39">
        <f t="shared" ca="1" si="130"/>
        <v>0</v>
      </c>
      <c r="AI74" s="41"/>
      <c r="AJ74" s="39">
        <f t="shared" ref="AJ74:AR75" ca="1" si="131">+$H74*AJ$5+$I74*AJ$6+$J74*AJ$7</f>
        <v>20258.439124432269</v>
      </c>
      <c r="AK74" s="39">
        <f t="shared" ca="1" si="131"/>
        <v>81033.756497729075</v>
      </c>
      <c r="AL74" s="39">
        <f t="shared" ca="1" si="131"/>
        <v>34615.59383051216</v>
      </c>
      <c r="AM74" s="39">
        <f t="shared" ca="1" si="131"/>
        <v>28868.955701480514</v>
      </c>
      <c r="AN74" s="39">
        <f t="shared" ca="1" si="131"/>
        <v>0</v>
      </c>
      <c r="AO74" s="39">
        <f t="shared" ca="1" si="131"/>
        <v>33700.753136420055</v>
      </c>
      <c r="AP74" s="39">
        <f t="shared" ca="1" si="131"/>
        <v>0</v>
      </c>
      <c r="AQ74" s="39">
        <f t="shared" ca="1" si="131"/>
        <v>23826.317831391487</v>
      </c>
      <c r="AR74" s="39">
        <f t="shared" ca="1" si="131"/>
        <v>0</v>
      </c>
      <c r="AT74" s="41"/>
      <c r="AU74" s="39">
        <f t="shared" ref="AU74:BC75" ca="1" si="132">+$H74*AU$5+$I74*AU$6+$J74*AU$7</f>
        <v>24078.169903024896</v>
      </c>
      <c r="AV74" s="39">
        <f t="shared" ca="1" si="132"/>
        <v>96312.679612099586</v>
      </c>
      <c r="AW74" s="39">
        <f t="shared" ca="1" si="132"/>
        <v>17606.74977106505</v>
      </c>
      <c r="AX74" s="39">
        <f t="shared" ca="1" si="132"/>
        <v>5027.4909253947035</v>
      </c>
      <c r="AY74" s="39">
        <f t="shared" ca="1" si="132"/>
        <v>17579.776581067246</v>
      </c>
      <c r="AZ74" s="39">
        <f t="shared" ca="1" si="132"/>
        <v>137684.67331895459</v>
      </c>
      <c r="BA74" s="39">
        <f t="shared" ca="1" si="132"/>
        <v>52739.329743201743</v>
      </c>
      <c r="BB74" s="39">
        <f t="shared" ca="1" si="132"/>
        <v>10789.275999120673</v>
      </c>
      <c r="BC74" s="39">
        <f t="shared" ca="1" si="132"/>
        <v>33716.487497252107</v>
      </c>
    </row>
    <row r="75" spans="2:55" x14ac:dyDescent="0.35">
      <c r="B75" s="9" t="s">
        <v>85</v>
      </c>
      <c r="C75" s="9"/>
      <c r="D75" s="9"/>
      <c r="E75" s="22"/>
      <c r="F75" s="105">
        <f t="shared" ca="1" si="127"/>
        <v>0.22477658331501404</v>
      </c>
      <c r="G75" s="29">
        <v>1000000</v>
      </c>
      <c r="H75" s="11">
        <f t="shared" ca="1" si="128"/>
        <v>382161.55052685388</v>
      </c>
      <c r="I75" s="11">
        <f t="shared" ca="1" si="128"/>
        <v>222303.81612196556</v>
      </c>
      <c r="J75" s="11">
        <f t="shared" ca="1" si="128"/>
        <v>395534.63335118059</v>
      </c>
      <c r="M75" s="39">
        <f t="shared" ca="1" si="129"/>
        <v>72657.010963952387</v>
      </c>
      <c r="N75" s="39">
        <f t="shared" ca="1" si="129"/>
        <v>290628.04385580955</v>
      </c>
      <c r="O75" s="39">
        <f t="shared" ca="1" si="129"/>
        <v>107152.12114918377</v>
      </c>
      <c r="P75" s="39">
        <f t="shared" ca="1" si="129"/>
        <v>80668.902144713269</v>
      </c>
      <c r="Q75" s="39">
        <f t="shared" ca="1" si="129"/>
        <v>35365.223735867738</v>
      </c>
      <c r="R75" s="39">
        <f t="shared" ca="1" si="129"/>
        <v>273800.83066436113</v>
      </c>
      <c r="S75" s="39">
        <f t="shared" ca="1" si="129"/>
        <v>52739.329743201743</v>
      </c>
      <c r="T75" s="39">
        <f t="shared" ca="1" si="129"/>
        <v>53272.05024565832</v>
      </c>
      <c r="U75" s="39">
        <f t="shared" ca="1" si="129"/>
        <v>33716.487497252107</v>
      </c>
      <c r="X75" s="41"/>
      <c r="Y75" s="39">
        <f t="shared" ca="1" si="130"/>
        <v>28320.401936495226</v>
      </c>
      <c r="Z75" s="39">
        <f t="shared" ca="1" si="130"/>
        <v>113281.6077459809</v>
      </c>
      <c r="AA75" s="39">
        <f t="shared" ca="1" si="130"/>
        <v>54929.777547606565</v>
      </c>
      <c r="AB75" s="39">
        <f t="shared" ca="1" si="130"/>
        <v>46772.455517838054</v>
      </c>
      <c r="AC75" s="39">
        <f t="shared" ca="1" si="130"/>
        <v>17785.447154800488</v>
      </c>
      <c r="AD75" s="39">
        <f t="shared" ca="1" si="130"/>
        <v>102415.4042089865</v>
      </c>
      <c r="AE75" s="39">
        <f t="shared" ca="1" si="130"/>
        <v>0</v>
      </c>
      <c r="AF75" s="39">
        <f t="shared" ca="1" si="130"/>
        <v>18656.456415146167</v>
      </c>
      <c r="AG75" s="39">
        <f t="shared" ca="1" si="130"/>
        <v>0</v>
      </c>
      <c r="AI75" s="41"/>
      <c r="AJ75" s="39">
        <f t="shared" ca="1" si="131"/>
        <v>20258.439124432269</v>
      </c>
      <c r="AK75" s="39">
        <f t="shared" ca="1" si="131"/>
        <v>81033.756497729075</v>
      </c>
      <c r="AL75" s="39">
        <f t="shared" ca="1" si="131"/>
        <v>34615.59383051216</v>
      </c>
      <c r="AM75" s="39">
        <f t="shared" ca="1" si="131"/>
        <v>28868.955701480514</v>
      </c>
      <c r="AN75" s="39">
        <f t="shared" ca="1" si="131"/>
        <v>0</v>
      </c>
      <c r="AO75" s="39">
        <f t="shared" ca="1" si="131"/>
        <v>33700.753136420055</v>
      </c>
      <c r="AP75" s="39">
        <f t="shared" ca="1" si="131"/>
        <v>0</v>
      </c>
      <c r="AQ75" s="39">
        <f t="shared" ca="1" si="131"/>
        <v>23826.317831391487</v>
      </c>
      <c r="AR75" s="39">
        <f t="shared" ca="1" si="131"/>
        <v>0</v>
      </c>
      <c r="AT75" s="41"/>
      <c r="AU75" s="39">
        <f t="shared" ca="1" si="132"/>
        <v>24078.169903024896</v>
      </c>
      <c r="AV75" s="39">
        <f t="shared" ca="1" si="132"/>
        <v>96312.679612099586</v>
      </c>
      <c r="AW75" s="39">
        <f t="shared" ca="1" si="132"/>
        <v>17606.74977106505</v>
      </c>
      <c r="AX75" s="39">
        <f t="shared" ca="1" si="132"/>
        <v>5027.4909253947035</v>
      </c>
      <c r="AY75" s="39">
        <f t="shared" ca="1" si="132"/>
        <v>17579.776581067246</v>
      </c>
      <c r="AZ75" s="39">
        <f t="shared" ca="1" si="132"/>
        <v>137684.67331895459</v>
      </c>
      <c r="BA75" s="39">
        <f t="shared" ca="1" si="132"/>
        <v>52739.329743201743</v>
      </c>
      <c r="BB75" s="39">
        <f t="shared" ca="1" si="132"/>
        <v>10789.275999120673</v>
      </c>
      <c r="BC75" s="39">
        <f t="shared" ca="1" si="132"/>
        <v>33716.487497252107</v>
      </c>
    </row>
    <row r="76" spans="2:55" x14ac:dyDescent="0.35">
      <c r="B76" s="12" t="s">
        <v>86</v>
      </c>
      <c r="C76" s="12"/>
      <c r="D76" s="12"/>
      <c r="E76" s="12"/>
      <c r="F76" s="106">
        <f t="shared" ca="1" si="127"/>
        <v>0.44955316663002809</v>
      </c>
      <c r="G76" s="13">
        <f>+SUM(G74:G75)</f>
        <v>2000000</v>
      </c>
      <c r="H76" s="129">
        <f ca="1">+SUM(H74:H75)</f>
        <v>764323.10105370777</v>
      </c>
      <c r="I76" s="129">
        <f ca="1">+SUM(I74:I75)</f>
        <v>444607.63224393112</v>
      </c>
      <c r="J76" s="129">
        <f ca="1">+SUM(J74:J75)</f>
        <v>791069.26670236117</v>
      </c>
      <c r="M76" s="129">
        <f t="shared" ref="M76:U76" ca="1" si="133">+SUM(M74:M75)</f>
        <v>145314.02192790477</v>
      </c>
      <c r="N76" s="129">
        <f t="shared" ca="1" si="133"/>
        <v>581256.0877116191</v>
      </c>
      <c r="O76" s="129">
        <f t="shared" ca="1" si="133"/>
        <v>214304.24229836755</v>
      </c>
      <c r="P76" s="129">
        <f t="shared" ca="1" si="133"/>
        <v>161337.80428942654</v>
      </c>
      <c r="Q76" s="129">
        <f t="shared" ca="1" si="133"/>
        <v>70730.447471735475</v>
      </c>
      <c r="R76" s="129">
        <f t="shared" ca="1" si="133"/>
        <v>547601.66132872226</v>
      </c>
      <c r="S76" s="129">
        <f t="shared" ca="1" si="133"/>
        <v>105478.65948640349</v>
      </c>
      <c r="T76" s="129">
        <f t="shared" ca="1" si="133"/>
        <v>106544.10049131664</v>
      </c>
      <c r="U76" s="129">
        <f t="shared" ca="1" si="133"/>
        <v>67432.974994504213</v>
      </c>
      <c r="X76" s="34">
        <f ca="1">+SUM(Y76:AG76)</f>
        <v>764323.10105370788</v>
      </c>
      <c r="Y76" s="129">
        <f t="shared" ref="Y76:AG76" ca="1" si="134">+SUM(Y74:Y75)</f>
        <v>56640.803872990451</v>
      </c>
      <c r="Z76" s="129">
        <f t="shared" ca="1" si="134"/>
        <v>226563.2154919618</v>
      </c>
      <c r="AA76" s="129">
        <f t="shared" ca="1" si="134"/>
        <v>109859.55509521313</v>
      </c>
      <c r="AB76" s="129">
        <f t="shared" ca="1" si="134"/>
        <v>93544.911035676108</v>
      </c>
      <c r="AC76" s="129">
        <f t="shared" ca="1" si="134"/>
        <v>35570.894309600975</v>
      </c>
      <c r="AD76" s="129">
        <f t="shared" ca="1" si="134"/>
        <v>204830.80841797299</v>
      </c>
      <c r="AE76" s="129">
        <f t="shared" ca="1" si="134"/>
        <v>0</v>
      </c>
      <c r="AF76" s="129">
        <f t="shared" ca="1" si="134"/>
        <v>37312.912830292335</v>
      </c>
      <c r="AG76" s="129">
        <f t="shared" ca="1" si="134"/>
        <v>0</v>
      </c>
      <c r="AH76" s="34"/>
      <c r="AI76" s="34">
        <f ca="1">+SUM(AJ76:AR76)</f>
        <v>444607.63224393112</v>
      </c>
      <c r="AJ76" s="129">
        <f t="shared" ref="AJ76:AR76" ca="1" si="135">+SUM(AJ74:AJ75)</f>
        <v>40516.878248864537</v>
      </c>
      <c r="AK76" s="129">
        <f t="shared" ca="1" si="135"/>
        <v>162067.51299545815</v>
      </c>
      <c r="AL76" s="129">
        <f t="shared" ca="1" si="135"/>
        <v>69231.18766102432</v>
      </c>
      <c r="AM76" s="129">
        <f t="shared" ca="1" si="135"/>
        <v>57737.911402961028</v>
      </c>
      <c r="AN76" s="129">
        <f t="shared" ca="1" si="135"/>
        <v>0</v>
      </c>
      <c r="AO76" s="129">
        <f t="shared" ca="1" si="135"/>
        <v>67401.50627284011</v>
      </c>
      <c r="AP76" s="129">
        <f t="shared" ca="1" si="135"/>
        <v>0</v>
      </c>
      <c r="AQ76" s="129">
        <f t="shared" ca="1" si="135"/>
        <v>47652.635662782974</v>
      </c>
      <c r="AR76" s="129">
        <f t="shared" ca="1" si="135"/>
        <v>0</v>
      </c>
      <c r="AT76" s="34">
        <f ca="1">+SUM(AU76:BC76)</f>
        <v>791069.26670236117</v>
      </c>
      <c r="AU76" s="129">
        <f t="shared" ref="AU76:BC76" ca="1" si="136">+SUM(AU74:AU75)</f>
        <v>48156.339806049793</v>
      </c>
      <c r="AV76" s="129">
        <f t="shared" ca="1" si="136"/>
        <v>192625.35922419917</v>
      </c>
      <c r="AW76" s="129">
        <f t="shared" ca="1" si="136"/>
        <v>35213.499542130099</v>
      </c>
      <c r="AX76" s="129">
        <f t="shared" ca="1" si="136"/>
        <v>10054.981850789407</v>
      </c>
      <c r="AY76" s="129">
        <f t="shared" ca="1" si="136"/>
        <v>35159.553162134493</v>
      </c>
      <c r="AZ76" s="129">
        <f t="shared" ca="1" si="136"/>
        <v>275369.34663790918</v>
      </c>
      <c r="BA76" s="129">
        <f t="shared" ca="1" si="136"/>
        <v>105478.65948640349</v>
      </c>
      <c r="BB76" s="129">
        <f t="shared" ca="1" si="136"/>
        <v>21578.551998241346</v>
      </c>
      <c r="BC76" s="129">
        <f t="shared" ca="1" si="136"/>
        <v>67432.974994504213</v>
      </c>
    </row>
    <row r="77" spans="2:55" x14ac:dyDescent="0.35">
      <c r="B77" s="9"/>
      <c r="C77" s="9"/>
      <c r="D77" s="9"/>
      <c r="E77" s="9"/>
      <c r="F77" s="9"/>
      <c r="G77" s="9"/>
      <c r="H77" s="9"/>
      <c r="I77" s="9"/>
      <c r="J77" s="9"/>
      <c r="M77" s="33"/>
      <c r="N77" s="33"/>
      <c r="O77" s="33"/>
      <c r="P77" s="33"/>
      <c r="Q77" s="33"/>
      <c r="R77" s="33"/>
      <c r="S77" s="33"/>
      <c r="T77" s="33"/>
      <c r="U77" s="33"/>
      <c r="X77" s="41"/>
      <c r="Y77" s="33"/>
      <c r="Z77" s="33"/>
      <c r="AA77" s="33"/>
      <c r="AB77" s="33"/>
      <c r="AC77" s="33"/>
      <c r="AD77" s="33"/>
      <c r="AE77" s="33"/>
      <c r="AF77" s="33"/>
      <c r="AG77" s="33"/>
      <c r="AI77" s="41"/>
      <c r="AJ77" s="33"/>
      <c r="AK77" s="33"/>
      <c r="AL77" s="33"/>
      <c r="AM77" s="33"/>
      <c r="AN77" s="33"/>
      <c r="AO77" s="33"/>
      <c r="AP77" s="33"/>
      <c r="AQ77" s="33"/>
      <c r="AR77" s="33"/>
      <c r="AT77" s="41"/>
      <c r="AU77" s="33"/>
      <c r="AV77" s="33"/>
      <c r="AW77" s="33"/>
      <c r="AX77" s="33"/>
      <c r="AY77" s="33"/>
      <c r="AZ77" s="33"/>
      <c r="BA77" s="33"/>
      <c r="BB77" s="33"/>
      <c r="BC77" s="33"/>
    </row>
    <row r="78" spans="2:55" ht="32.25" customHeight="1" x14ac:dyDescent="0.35">
      <c r="B78" s="15" t="s">
        <v>60</v>
      </c>
      <c r="C78" s="16"/>
      <c r="D78" s="16"/>
      <c r="E78" s="16"/>
      <c r="F78" s="16"/>
      <c r="G78" s="15" t="s">
        <v>17</v>
      </c>
      <c r="H78" s="23" t="str">
        <f>+H$22</f>
        <v>I</v>
      </c>
      <c r="I78" s="23" t="str">
        <f t="shared" ref="I78:J78" si="137">+I$22</f>
        <v>II</v>
      </c>
      <c r="J78" s="46" t="str">
        <f t="shared" si="137"/>
        <v>III</v>
      </c>
      <c r="M78" s="214" t="str">
        <f t="shared" ref="M78:U78" ca="1" si="138">+M$22</f>
        <v>Affordable Residential</v>
      </c>
      <c r="N78" s="214" t="str">
        <f t="shared" ca="1" si="138"/>
        <v>Market Rate Residential</v>
      </c>
      <c r="O78" s="214" t="str">
        <f t="shared" ca="1" si="138"/>
        <v>Retail</v>
      </c>
      <c r="P78" s="214" t="str">
        <f t="shared" ca="1" si="138"/>
        <v>Hotel</v>
      </c>
      <c r="Q78" s="214" t="str">
        <f t="shared" ca="1" si="138"/>
        <v>Community Facility</v>
      </c>
      <c r="R78" s="214" t="str">
        <f t="shared" ca="1" si="138"/>
        <v>Office</v>
      </c>
      <c r="S78" s="214" t="str">
        <f t="shared" ca="1" si="138"/>
        <v>Industrial</v>
      </c>
      <c r="T78" s="214" t="str">
        <f t="shared" ca="1" si="138"/>
        <v>Structural Parking</v>
      </c>
      <c r="U78" s="214" t="str">
        <f t="shared" ca="1" si="138"/>
        <v>Surface Parking</v>
      </c>
      <c r="X78" s="41"/>
      <c r="Y78" s="214" t="str">
        <f t="shared" ref="Y78:AG78" ca="1" si="139">+Y$22</f>
        <v>Affordable Residential</v>
      </c>
      <c r="Z78" s="214" t="str">
        <f t="shared" ca="1" si="139"/>
        <v>Market Rate Residential</v>
      </c>
      <c r="AA78" s="214" t="str">
        <f t="shared" ca="1" si="139"/>
        <v>Retail</v>
      </c>
      <c r="AB78" s="214" t="str">
        <f t="shared" ca="1" si="139"/>
        <v>Hotel</v>
      </c>
      <c r="AC78" s="214" t="str">
        <f t="shared" ca="1" si="139"/>
        <v>Community Facility</v>
      </c>
      <c r="AD78" s="214" t="str">
        <f t="shared" ca="1" si="139"/>
        <v>Office</v>
      </c>
      <c r="AE78" s="214" t="str">
        <f t="shared" ca="1" si="139"/>
        <v>Industrial</v>
      </c>
      <c r="AF78" s="214" t="str">
        <f t="shared" ca="1" si="139"/>
        <v>Structural Parking</v>
      </c>
      <c r="AG78" s="214" t="str">
        <f t="shared" ca="1" si="139"/>
        <v>Surface Parking</v>
      </c>
      <c r="AI78" s="41"/>
      <c r="AJ78" s="214" t="str">
        <f t="shared" ref="AJ78:AR78" ca="1" si="140">+AJ$22</f>
        <v>Affordable Residential</v>
      </c>
      <c r="AK78" s="214" t="str">
        <f t="shared" ca="1" si="140"/>
        <v>Market Rate Residential</v>
      </c>
      <c r="AL78" s="214" t="str">
        <f t="shared" ca="1" si="140"/>
        <v>Retail</v>
      </c>
      <c r="AM78" s="214" t="str">
        <f t="shared" ca="1" si="140"/>
        <v>Hotel</v>
      </c>
      <c r="AN78" s="214" t="str">
        <f t="shared" ca="1" si="140"/>
        <v>Community Facility</v>
      </c>
      <c r="AO78" s="214" t="str">
        <f t="shared" ca="1" si="140"/>
        <v>Office</v>
      </c>
      <c r="AP78" s="214" t="str">
        <f t="shared" ca="1" si="140"/>
        <v>Industrial</v>
      </c>
      <c r="AQ78" s="214" t="str">
        <f t="shared" ca="1" si="140"/>
        <v>Structural Parking</v>
      </c>
      <c r="AR78" s="214" t="str">
        <f t="shared" ca="1" si="140"/>
        <v>Surface Parking</v>
      </c>
      <c r="AT78" s="41"/>
      <c r="AU78" s="214" t="str">
        <f t="shared" ref="AU78:BC78" ca="1" si="141">+AU$22</f>
        <v>Affordable Residential</v>
      </c>
      <c r="AV78" s="214" t="str">
        <f t="shared" ca="1" si="141"/>
        <v>Market Rate Residential</v>
      </c>
      <c r="AW78" s="214" t="str">
        <f t="shared" ca="1" si="141"/>
        <v>Retail</v>
      </c>
      <c r="AX78" s="214" t="str">
        <f t="shared" ca="1" si="141"/>
        <v>Hotel</v>
      </c>
      <c r="AY78" s="214" t="str">
        <f t="shared" ca="1" si="141"/>
        <v>Community Facility</v>
      </c>
      <c r="AZ78" s="214" t="str">
        <f t="shared" ca="1" si="141"/>
        <v>Office</v>
      </c>
      <c r="BA78" s="214" t="str">
        <f t="shared" ca="1" si="141"/>
        <v>Industrial</v>
      </c>
      <c r="BB78" s="214" t="str">
        <f t="shared" ca="1" si="141"/>
        <v>Structural Parking</v>
      </c>
      <c r="BC78" s="214" t="str">
        <f t="shared" ca="1" si="141"/>
        <v>Surface Parking</v>
      </c>
    </row>
    <row r="79" spans="2:55" x14ac:dyDescent="0.35">
      <c r="B79" s="9" t="s">
        <v>60</v>
      </c>
      <c r="C79" s="9"/>
      <c r="D79" s="107">
        <v>0.03</v>
      </c>
      <c r="E79" s="22">
        <v>0</v>
      </c>
      <c r="F79" s="105">
        <f t="shared" ref="F79:F82" ca="1" si="142">+G79/$G$10</f>
        <v>6.5344169925569915</v>
      </c>
      <c r="G79" s="43">
        <f ca="1">+SUM(H79:J79)</f>
        <v>29070719.450341083</v>
      </c>
      <c r="H79" s="34">
        <f ca="1">+$D79*SUM(H76,H71,H64,H45,H31)</f>
        <v>11439161.391024234</v>
      </c>
      <c r="I79" s="34">
        <f ca="1">+$D79*SUM(I76,I71,I64,I45,I31)</f>
        <v>6434689.4432007801</v>
      </c>
      <c r="J79" s="34">
        <f ca="1">+$D79*SUM(J76,J71,J64,J45,J31)</f>
        <v>11196868.616116071</v>
      </c>
      <c r="K79" s="34"/>
      <c r="L79" s="34"/>
      <c r="M79" s="39">
        <f t="shared" ref="M79:U79" ca="1" si="143">+$H79*M$5+$I79*M$6+$J79*M$7</f>
        <v>2115708.1251693708</v>
      </c>
      <c r="N79" s="39">
        <f t="shared" ca="1" si="143"/>
        <v>8462832.5006774832</v>
      </c>
      <c r="O79" s="39">
        <f t="shared" ca="1" si="143"/>
        <v>3144581.4543439089</v>
      </c>
      <c r="P79" s="39">
        <f t="shared" ca="1" si="143"/>
        <v>2377974.8608977906</v>
      </c>
      <c r="Q79" s="39">
        <f t="shared" ca="1" si="143"/>
        <v>1030019.6665516703</v>
      </c>
      <c r="R79" s="39">
        <f t="shared" ca="1" si="143"/>
        <v>7938666.6317213075</v>
      </c>
      <c r="S79" s="39">
        <f t="shared" ca="1" si="143"/>
        <v>1492954.8419906776</v>
      </c>
      <c r="T79" s="39">
        <f t="shared" ca="1" si="143"/>
        <v>1553528.7146028141</v>
      </c>
      <c r="U79" s="39">
        <f t="shared" ca="1" si="143"/>
        <v>954452.65438606171</v>
      </c>
      <c r="X79" s="34"/>
      <c r="Y79" s="39">
        <f t="shared" ref="Y79:AG79" ca="1" si="144">+$H79*Y$5+$I79*Y$6+$J79*Y$7</f>
        <v>847708.64039991866</v>
      </c>
      <c r="Z79" s="39">
        <f t="shared" ca="1" si="144"/>
        <v>3390834.5615996746</v>
      </c>
      <c r="AA79" s="39">
        <f t="shared" ca="1" si="144"/>
        <v>1644201.4893279476</v>
      </c>
      <c r="AB79" s="39">
        <f t="shared" ca="1" si="144"/>
        <v>1400030.0830511081</v>
      </c>
      <c r="AC79" s="39">
        <f t="shared" ca="1" si="144"/>
        <v>532368.05255477782</v>
      </c>
      <c r="AD79" s="39">
        <f t="shared" ca="1" si="144"/>
        <v>3065578.7743651001</v>
      </c>
      <c r="AE79" s="39">
        <f t="shared" ca="1" si="144"/>
        <v>0</v>
      </c>
      <c r="AF79" s="39">
        <f t="shared" ca="1" si="144"/>
        <v>558439.78972570691</v>
      </c>
      <c r="AG79" s="39">
        <f t="shared" ca="1" si="144"/>
        <v>0</v>
      </c>
      <c r="AI79" s="34"/>
      <c r="AJ79" s="39">
        <f t="shared" ref="AJ79:AR79" ca="1" si="145">+$H79*AJ$5+$I79*AJ$6+$J79*AJ$7</f>
        <v>586390.13330383215</v>
      </c>
      <c r="AK79" s="39">
        <f t="shared" ca="1" si="145"/>
        <v>2345560.5332153286</v>
      </c>
      <c r="AL79" s="39">
        <f t="shared" ca="1" si="145"/>
        <v>1001964.7888955601</v>
      </c>
      <c r="AM79" s="39">
        <f t="shared" ca="1" si="145"/>
        <v>835625.62140917138</v>
      </c>
      <c r="AN79" s="39">
        <f t="shared" ca="1" si="145"/>
        <v>0</v>
      </c>
      <c r="AO79" s="39">
        <f t="shared" ca="1" si="145"/>
        <v>975484.29090332042</v>
      </c>
      <c r="AP79" s="39">
        <f t="shared" ca="1" si="145"/>
        <v>0</v>
      </c>
      <c r="AQ79" s="39">
        <f t="shared" ca="1" si="145"/>
        <v>689664.07547356735</v>
      </c>
      <c r="AR79" s="39">
        <f t="shared" ca="1" si="145"/>
        <v>0</v>
      </c>
      <c r="AT79" s="34"/>
      <c r="AU79" s="39">
        <f t="shared" ref="AU79:BC79" ca="1" si="146">+$H79*AU$5+$I79*AU$6+$J79*AU$7</f>
        <v>681609.35146561998</v>
      </c>
      <c r="AV79" s="39">
        <f t="shared" ca="1" si="146"/>
        <v>2726437.4058624799</v>
      </c>
      <c r="AW79" s="39">
        <f t="shared" ca="1" si="146"/>
        <v>498415.17612040136</v>
      </c>
      <c r="AX79" s="39">
        <f t="shared" ca="1" si="146"/>
        <v>142319.15643751118</v>
      </c>
      <c r="AY79" s="39">
        <f t="shared" ca="1" si="146"/>
        <v>497651.61399689253</v>
      </c>
      <c r="AZ79" s="39">
        <f t="shared" ca="1" si="146"/>
        <v>3897603.5664528869</v>
      </c>
      <c r="BA79" s="39">
        <f t="shared" ca="1" si="146"/>
        <v>1492954.8419906776</v>
      </c>
      <c r="BB79" s="39">
        <f t="shared" ca="1" si="146"/>
        <v>305424.84940353973</v>
      </c>
      <c r="BC79" s="39">
        <f t="shared" ca="1" si="146"/>
        <v>954452.65438606171</v>
      </c>
    </row>
    <row r="80" spans="2:55" x14ac:dyDescent="0.35">
      <c r="B80" s="12" t="s">
        <v>87</v>
      </c>
      <c r="C80" s="12"/>
      <c r="D80" s="12"/>
      <c r="E80" s="12"/>
      <c r="F80" s="106">
        <f t="shared" ca="1" si="142"/>
        <v>6.5344169925569915</v>
      </c>
      <c r="G80" s="13">
        <f ca="1">+SUM(G79:G79)</f>
        <v>29070719.450341083</v>
      </c>
      <c r="H80" s="129">
        <f ca="1">+SUM(H79:H79)</f>
        <v>11439161.391024234</v>
      </c>
      <c r="I80" s="129">
        <f ca="1">+SUM(I79:I79)</f>
        <v>6434689.4432007801</v>
      </c>
      <c r="J80" s="129">
        <f ca="1">+SUM(J79:J79)</f>
        <v>11196868.616116071</v>
      </c>
      <c r="M80" s="129">
        <f t="shared" ref="M80:U80" ca="1" si="147">+SUM(M79:M79)</f>
        <v>2115708.1251693708</v>
      </c>
      <c r="N80" s="129">
        <f t="shared" ca="1" si="147"/>
        <v>8462832.5006774832</v>
      </c>
      <c r="O80" s="129">
        <f t="shared" ca="1" si="147"/>
        <v>3144581.4543439089</v>
      </c>
      <c r="P80" s="129">
        <f t="shared" ca="1" si="147"/>
        <v>2377974.8608977906</v>
      </c>
      <c r="Q80" s="129">
        <f t="shared" ca="1" si="147"/>
        <v>1030019.6665516703</v>
      </c>
      <c r="R80" s="129">
        <f t="shared" ca="1" si="147"/>
        <v>7938666.6317213075</v>
      </c>
      <c r="S80" s="129">
        <f t="shared" ca="1" si="147"/>
        <v>1492954.8419906776</v>
      </c>
      <c r="T80" s="129">
        <f t="shared" ca="1" si="147"/>
        <v>1553528.7146028141</v>
      </c>
      <c r="U80" s="129">
        <f t="shared" ca="1" si="147"/>
        <v>954452.65438606171</v>
      </c>
      <c r="X80" s="34">
        <f ca="1">+SUM(Y80:AG80)</f>
        <v>11439161.391024232</v>
      </c>
      <c r="Y80" s="129">
        <f t="shared" ref="Y80:AG80" ca="1" si="148">+SUM(Y79:Y79)</f>
        <v>847708.64039991866</v>
      </c>
      <c r="Z80" s="129">
        <f t="shared" ca="1" si="148"/>
        <v>3390834.5615996746</v>
      </c>
      <c r="AA80" s="129">
        <f t="shared" ca="1" si="148"/>
        <v>1644201.4893279476</v>
      </c>
      <c r="AB80" s="129">
        <f t="shared" ca="1" si="148"/>
        <v>1400030.0830511081</v>
      </c>
      <c r="AC80" s="129">
        <f t="shared" ca="1" si="148"/>
        <v>532368.05255477782</v>
      </c>
      <c r="AD80" s="129">
        <f t="shared" ca="1" si="148"/>
        <v>3065578.7743651001</v>
      </c>
      <c r="AE80" s="129">
        <f t="shared" ca="1" si="148"/>
        <v>0</v>
      </c>
      <c r="AF80" s="129">
        <f t="shared" ca="1" si="148"/>
        <v>558439.78972570691</v>
      </c>
      <c r="AG80" s="129">
        <f t="shared" ca="1" si="148"/>
        <v>0</v>
      </c>
      <c r="AH80" s="34"/>
      <c r="AI80" s="34">
        <f ca="1">+SUM(AJ80:AR80)</f>
        <v>6434689.4432007801</v>
      </c>
      <c r="AJ80" s="129">
        <f t="shared" ref="AJ80:AR80" ca="1" si="149">+SUM(AJ79:AJ79)</f>
        <v>586390.13330383215</v>
      </c>
      <c r="AK80" s="129">
        <f t="shared" ca="1" si="149"/>
        <v>2345560.5332153286</v>
      </c>
      <c r="AL80" s="129">
        <f t="shared" ca="1" si="149"/>
        <v>1001964.7888955601</v>
      </c>
      <c r="AM80" s="129">
        <f t="shared" ca="1" si="149"/>
        <v>835625.62140917138</v>
      </c>
      <c r="AN80" s="129">
        <f t="shared" ca="1" si="149"/>
        <v>0</v>
      </c>
      <c r="AO80" s="129">
        <f t="shared" ca="1" si="149"/>
        <v>975484.29090332042</v>
      </c>
      <c r="AP80" s="129">
        <f t="shared" ca="1" si="149"/>
        <v>0</v>
      </c>
      <c r="AQ80" s="129">
        <f t="shared" ca="1" si="149"/>
        <v>689664.07547356735</v>
      </c>
      <c r="AR80" s="129">
        <f t="shared" ca="1" si="149"/>
        <v>0</v>
      </c>
      <c r="AT80" s="34">
        <f ca="1">+SUM(AU80:BC80)</f>
        <v>11196868.616116071</v>
      </c>
      <c r="AU80" s="129">
        <f t="shared" ref="AU80:BC80" ca="1" si="150">+SUM(AU79:AU79)</f>
        <v>681609.35146561998</v>
      </c>
      <c r="AV80" s="129">
        <f t="shared" ca="1" si="150"/>
        <v>2726437.4058624799</v>
      </c>
      <c r="AW80" s="129">
        <f t="shared" ca="1" si="150"/>
        <v>498415.17612040136</v>
      </c>
      <c r="AX80" s="129">
        <f t="shared" ca="1" si="150"/>
        <v>142319.15643751118</v>
      </c>
      <c r="AY80" s="129">
        <f t="shared" ca="1" si="150"/>
        <v>497651.61399689253</v>
      </c>
      <c r="AZ80" s="129">
        <f t="shared" ca="1" si="150"/>
        <v>3897603.5664528869</v>
      </c>
      <c r="BA80" s="129">
        <f t="shared" ca="1" si="150"/>
        <v>1492954.8419906776</v>
      </c>
      <c r="BB80" s="129">
        <f t="shared" ca="1" si="150"/>
        <v>305424.84940353973</v>
      </c>
      <c r="BC80" s="129">
        <f t="shared" ca="1" si="150"/>
        <v>954452.65438606171</v>
      </c>
    </row>
    <row r="81" spans="2:55" x14ac:dyDescent="0.35">
      <c r="B81" s="9"/>
      <c r="C81" s="9"/>
      <c r="D81" s="9"/>
      <c r="E81" s="9"/>
      <c r="F81" s="9"/>
      <c r="G81" s="10"/>
      <c r="H81" s="9"/>
      <c r="I81" s="9"/>
      <c r="J81" s="9"/>
      <c r="M81" s="33"/>
      <c r="N81" s="33"/>
      <c r="O81" s="33"/>
      <c r="P81" s="33"/>
      <c r="Q81" s="33"/>
      <c r="R81" s="33"/>
      <c r="S81" s="33"/>
      <c r="T81" s="33"/>
      <c r="U81" s="33"/>
      <c r="X81" s="41"/>
      <c r="Y81" s="33"/>
      <c r="Z81" s="33"/>
      <c r="AA81" s="33"/>
      <c r="AB81" s="33"/>
      <c r="AC81" s="33"/>
      <c r="AD81" s="33"/>
      <c r="AE81" s="33"/>
      <c r="AF81" s="33"/>
      <c r="AG81" s="33"/>
      <c r="AI81" s="41"/>
      <c r="AJ81" s="33"/>
      <c r="AK81" s="33"/>
      <c r="AL81" s="33"/>
      <c r="AM81" s="33"/>
      <c r="AN81" s="33"/>
      <c r="AO81" s="33"/>
      <c r="AP81" s="33"/>
      <c r="AQ81" s="33"/>
      <c r="AR81" s="33"/>
      <c r="AT81" s="41"/>
      <c r="AU81" s="33"/>
      <c r="AV81" s="33"/>
      <c r="AW81" s="33"/>
      <c r="AX81" s="33"/>
      <c r="AY81" s="33"/>
      <c r="AZ81" s="33"/>
      <c r="BA81" s="33"/>
      <c r="BB81" s="33"/>
      <c r="BC81" s="33"/>
    </row>
    <row r="82" spans="2:55" x14ac:dyDescent="0.35">
      <c r="B82" s="12" t="s">
        <v>235</v>
      </c>
      <c r="C82" s="12"/>
      <c r="D82" s="12"/>
      <c r="E82" s="12"/>
      <c r="F82" s="106">
        <f t="shared" ca="1" si="142"/>
        <v>228.13371424771552</v>
      </c>
      <c r="G82" s="13">
        <f ca="1">+G24+G45+G64+G71+G76+G80+G31</f>
        <v>1014935412.2355201</v>
      </c>
      <c r="H82" s="129">
        <f ca="1">+H24+H45+H64+H71+H76+H80+H31</f>
        <v>399644692.09183204</v>
      </c>
      <c r="I82" s="129">
        <f ca="1">+I24+I45+I64+I71+I76+I80+I31</f>
        <v>221743310.6570363</v>
      </c>
      <c r="J82" s="129">
        <f ca="1">+J24+J45+J64+J71+J76+J80+J31</f>
        <v>393547409.48665184</v>
      </c>
      <c r="M82" s="129">
        <f t="shared" ref="M82:U82" ca="1" si="151">+M24+M45+M64+M71+M76+M80+M31</f>
        <v>73925488.874625638</v>
      </c>
      <c r="N82" s="129">
        <f t="shared" ca="1" si="151"/>
        <v>329247842.82206494</v>
      </c>
      <c r="O82" s="129">
        <f t="shared" ca="1" si="151"/>
        <v>112086527.52156897</v>
      </c>
      <c r="P82" s="129">
        <f t="shared" ca="1" si="151"/>
        <v>93995968.768870398</v>
      </c>
      <c r="Q82" s="129">
        <f t="shared" ca="1" si="151"/>
        <v>36057767.796505988</v>
      </c>
      <c r="R82" s="129">
        <f t="shared" ca="1" si="151"/>
        <v>295866164.1955111</v>
      </c>
      <c r="S82" s="129">
        <f t="shared" ca="1" si="151"/>
        <v>42783010.890205331</v>
      </c>
      <c r="T82" s="129">
        <f t="shared" ca="1" si="151"/>
        <v>22504959.221831739</v>
      </c>
      <c r="U82" s="129">
        <f t="shared" ca="1" si="151"/>
        <v>8467682.144336164</v>
      </c>
      <c r="X82" s="34">
        <f ca="1">+SUM(Y82:AG82)</f>
        <v>399644692.09183216</v>
      </c>
      <c r="Y82" s="129">
        <f t="shared" ref="Y82:AG82" ca="1" si="152">+Y24+Y45+Y64+Y71+Y76+Y80+Y31</f>
        <v>28475043.81842339</v>
      </c>
      <c r="Z82" s="129">
        <f t="shared" ca="1" si="152"/>
        <v>126384695.23680249</v>
      </c>
      <c r="AA82" s="129">
        <f t="shared" ca="1" si="152"/>
        <v>57176038.672037721</v>
      </c>
      <c r="AB82" s="129">
        <f t="shared" ca="1" si="152"/>
        <v>54723415.62777853</v>
      </c>
      <c r="AC82" s="129">
        <f t="shared" ca="1" si="152"/>
        <v>17335013.49341679</v>
      </c>
      <c r="AD82" s="129">
        <f t="shared" ca="1" si="152"/>
        <v>107381834.21374291</v>
      </c>
      <c r="AE82" s="129">
        <f t="shared" ca="1" si="152"/>
        <v>1.4005724289356137E-5</v>
      </c>
      <c r="AF82" s="129">
        <f t="shared" ca="1" si="152"/>
        <v>8168651.0296162795</v>
      </c>
      <c r="AG82" s="129">
        <f t="shared" ca="1" si="152"/>
        <v>0</v>
      </c>
      <c r="AH82" s="34"/>
      <c r="AI82" s="34">
        <f ca="1">+SUM(AJ82:AR82)</f>
        <v>221743310.65703633</v>
      </c>
      <c r="AJ82" s="129">
        <f t="shared" ref="AJ82:AR82" ca="1" si="153">+AJ24+AJ45+AJ64+AJ71+AJ76+AJ80+AJ31</f>
        <v>19873249.911287881</v>
      </c>
      <c r="AK82" s="129">
        <f t="shared" ca="1" si="153"/>
        <v>88915177.99947226</v>
      </c>
      <c r="AL82" s="129">
        <f t="shared" ca="1" si="153"/>
        <v>35527515.081917137</v>
      </c>
      <c r="AM82" s="129">
        <f t="shared" ca="1" si="153"/>
        <v>33290588.70297496</v>
      </c>
      <c r="AN82" s="129">
        <f t="shared" ca="1" si="153"/>
        <v>0</v>
      </c>
      <c r="AO82" s="129">
        <f t="shared" ca="1" si="153"/>
        <v>34706428.519706115</v>
      </c>
      <c r="AP82" s="129">
        <f t="shared" ca="1" si="153"/>
        <v>1.4329080152423967E-5</v>
      </c>
      <c r="AQ82" s="129">
        <f t="shared" ca="1" si="153"/>
        <v>9430350.4416636173</v>
      </c>
      <c r="AR82" s="129">
        <f t="shared" ca="1" si="153"/>
        <v>0</v>
      </c>
      <c r="AT82" s="34">
        <f ca="1">+SUM(AU82:BC82)</f>
        <v>393547409.48665178</v>
      </c>
      <c r="AU82" s="129">
        <f t="shared" ref="AU82:BC82" ca="1" si="154">+AU24+AU45+AU64+AU71+AU76+AU80+AU31</f>
        <v>25582628.491270997</v>
      </c>
      <c r="AV82" s="129">
        <f t="shared" ca="1" si="154"/>
        <v>113993039.9115651</v>
      </c>
      <c r="AW82" s="129">
        <f t="shared" ca="1" si="154"/>
        <v>19478409.970110651</v>
      </c>
      <c r="AX82" s="129">
        <f t="shared" ca="1" si="154"/>
        <v>6142677.4854149157</v>
      </c>
      <c r="AY82" s="129">
        <f t="shared" ca="1" si="154"/>
        <v>18703720.397015721</v>
      </c>
      <c r="AZ82" s="129">
        <f t="shared" ca="1" si="154"/>
        <v>153612840.87146428</v>
      </c>
      <c r="BA82" s="129">
        <f t="shared" ca="1" si="154"/>
        <v>42669311.732785463</v>
      </c>
      <c r="BB82" s="129">
        <f t="shared" ca="1" si="154"/>
        <v>4893115.9357635546</v>
      </c>
      <c r="BC82" s="129">
        <f t="shared" ca="1" si="154"/>
        <v>8471664.691261109</v>
      </c>
    </row>
    <row r="83" spans="2:55" x14ac:dyDescent="0.35">
      <c r="B83" s="35" t="s">
        <v>388</v>
      </c>
      <c r="C83" s="35"/>
      <c r="D83" s="35"/>
      <c r="E83" s="35"/>
      <c r="F83" s="106">
        <f ca="1">+G83/($G$10-SUM($G$18:$G$19))</f>
        <v>246.28003771184746</v>
      </c>
      <c r="G83" s="36">
        <f ca="1">+G82-(SUM(G42:G43)*(1+$D$44))</f>
        <v>1000355526.5403202</v>
      </c>
      <c r="H83" s="129">
        <f ca="1">+H82-(SUM(H42:H43)*(1+$D$44))</f>
        <v>395287192.09183204</v>
      </c>
      <c r="I83" s="129">
        <f ca="1">+I82-(SUM(I42:I43)*(1+$D$44))</f>
        <v>215953484.6570363</v>
      </c>
      <c r="J83" s="129">
        <f ca="1">+J82-(SUM(J42:J43)*(1+$D$44))</f>
        <v>389114849.79145181</v>
      </c>
      <c r="M83" s="129"/>
      <c r="N83" s="129"/>
      <c r="O83" s="129"/>
      <c r="P83" s="129"/>
      <c r="Q83" s="129"/>
      <c r="R83" s="129"/>
      <c r="S83" s="129"/>
      <c r="T83" s="129"/>
      <c r="U83" s="129"/>
      <c r="X83" s="41"/>
      <c r="Y83" s="129"/>
      <c r="Z83" s="129"/>
      <c r="AA83" s="129"/>
      <c r="AB83" s="129"/>
      <c r="AC83" s="129"/>
      <c r="AD83" s="129"/>
      <c r="AE83" s="129"/>
      <c r="AF83" s="129"/>
      <c r="AG83" s="129"/>
      <c r="AI83" s="41"/>
      <c r="AJ83" s="129"/>
      <c r="AK83" s="129"/>
      <c r="AL83" s="129"/>
      <c r="AM83" s="129"/>
      <c r="AN83" s="129"/>
      <c r="AO83" s="129"/>
      <c r="AP83" s="129"/>
      <c r="AQ83" s="129"/>
      <c r="AR83" s="129"/>
      <c r="AT83" s="41"/>
      <c r="AU83" s="129"/>
      <c r="AV83" s="129"/>
      <c r="AW83" s="129"/>
      <c r="AX83" s="129"/>
      <c r="AY83" s="129"/>
      <c r="AZ83" s="129"/>
      <c r="BA83" s="129"/>
      <c r="BB83" s="129"/>
      <c r="BC83" s="129"/>
    </row>
    <row r="84" spans="2:55" x14ac:dyDescent="0.35">
      <c r="G84" s="28"/>
      <c r="H84" s="34"/>
      <c r="I84" s="116"/>
      <c r="L84" s="18"/>
      <c r="X84" s="41"/>
      <c r="Y84" s="41"/>
      <c r="Z84" s="41"/>
      <c r="AA84" s="41"/>
      <c r="AB84" s="41"/>
      <c r="AC84" s="41"/>
      <c r="AD84" s="41"/>
      <c r="AE84" s="41"/>
      <c r="AF84" s="41"/>
      <c r="AG84" s="41"/>
    </row>
    <row r="85" spans="2:55" x14ac:dyDescent="0.35">
      <c r="H85" s="34"/>
      <c r="I85" s="34"/>
      <c r="J85" s="34"/>
      <c r="L85" s="215" t="s">
        <v>391</v>
      </c>
      <c r="M85" s="216">
        <f t="shared" ref="M85:U85" ca="1" si="155">+IFERROR(M82/SUM(M11:M19),"")</f>
        <v>228.70083132616824</v>
      </c>
      <c r="N85" s="216">
        <f t="shared" ca="1" si="155"/>
        <v>254.64578088032005</v>
      </c>
      <c r="O85" s="216">
        <f t="shared" ca="1" si="155"/>
        <v>235.12765236691237</v>
      </c>
      <c r="P85" s="216">
        <f t="shared" ca="1" si="155"/>
        <v>261.91124638524798</v>
      </c>
      <c r="Q85" s="216">
        <f t="shared" ca="1" si="155"/>
        <v>229.17829978393866</v>
      </c>
      <c r="R85" s="216">
        <f t="shared" ca="1" si="155"/>
        <v>242.89110206502485</v>
      </c>
      <c r="S85" s="216">
        <f t="shared" ca="1" si="155"/>
        <v>182.34245787071274</v>
      </c>
      <c r="T85" s="216">
        <f t="shared" ca="1" si="155"/>
        <v>94.957633847391307</v>
      </c>
      <c r="U85" s="216">
        <f t="shared" ca="1" si="155"/>
        <v>56.451214295574424</v>
      </c>
      <c r="V85" s="49"/>
      <c r="X85" s="41"/>
      <c r="Y85" s="41"/>
      <c r="Z85" s="41"/>
      <c r="AA85" s="41"/>
      <c r="AB85" s="41"/>
      <c r="AC85" s="41"/>
      <c r="AD85" s="41"/>
      <c r="AE85" s="41"/>
      <c r="AF85" s="41"/>
      <c r="AG85" s="41"/>
    </row>
    <row r="86" spans="2:55" s="41" customFormat="1" x14ac:dyDescent="0.35">
      <c r="H86" s="34"/>
      <c r="I86" s="34"/>
      <c r="J86" s="34"/>
      <c r="L86" s="217" t="s">
        <v>502</v>
      </c>
      <c r="M86" s="390">
        <f ca="1">+M45/SUM(M11:M19)</f>
        <v>185.42357748740451</v>
      </c>
      <c r="N86" s="390">
        <f t="shared" ref="N86:U86" ca="1" si="156">+N45/SUM(N11:N19)</f>
        <v>196.32868902175727</v>
      </c>
      <c r="O86" s="390">
        <f t="shared" ca="1" si="156"/>
        <v>177.90602323803031</v>
      </c>
      <c r="P86" s="390">
        <f t="shared" ca="1" si="156"/>
        <v>198.11095465308128</v>
      </c>
      <c r="Q86" s="390">
        <f t="shared" ca="1" si="156"/>
        <v>180.39648574759181</v>
      </c>
      <c r="R86" s="390">
        <f t="shared" ca="1" si="156"/>
        <v>181.32830176981111</v>
      </c>
      <c r="S86" s="390">
        <f t="shared" ca="1" si="156"/>
        <v>125.02091447999999</v>
      </c>
      <c r="T86" s="390">
        <f t="shared" ca="1" si="156"/>
        <v>54.358084229910283</v>
      </c>
      <c r="U86" s="390">
        <f t="shared" ca="1" si="156"/>
        <v>11.365537679999999</v>
      </c>
      <c r="V86" s="49"/>
    </row>
    <row r="87" spans="2:55" x14ac:dyDescent="0.35">
      <c r="H87" s="34"/>
      <c r="L87" s="217" t="s">
        <v>390</v>
      </c>
      <c r="M87" s="218">
        <f ca="1">+M82/Assumptions!$M$46</f>
        <v>195313.95599838436</v>
      </c>
      <c r="N87" s="218">
        <f ca="1">+N82/Assumptions!$M$47</f>
        <v>217471.333854055</v>
      </c>
      <c r="O87" s="192"/>
      <c r="P87" s="218">
        <f ca="1">+P82/Assumptions!$M$48</f>
        <v>152598.94525431984</v>
      </c>
      <c r="Q87" s="192"/>
      <c r="R87" s="192"/>
      <c r="S87" s="192"/>
      <c r="T87" s="218">
        <f ca="1">+T82/Assumptions!$M$49</f>
        <v>31336.019169639127</v>
      </c>
      <c r="U87" s="218">
        <f ca="1">+U82/Assumptions!$M$50</f>
        <v>18628.90071753956</v>
      </c>
      <c r="X87" s="41"/>
      <c r="Y87" s="41"/>
      <c r="Z87" s="41"/>
      <c r="AA87" s="41"/>
      <c r="AB87" s="41"/>
      <c r="AC87" s="41"/>
      <c r="AD87" s="41"/>
      <c r="AE87" s="41"/>
      <c r="AF87" s="41"/>
      <c r="AG87" s="41"/>
    </row>
    <row r="88" spans="2:55" x14ac:dyDescent="0.35">
      <c r="L88" s="219" t="s">
        <v>389</v>
      </c>
      <c r="M88" s="220">
        <f ca="1">+M45/Assumptions!$M$46</f>
        <v>158354.52912188027</v>
      </c>
      <c r="N88" s="220">
        <f ca="1">+N45/Assumptions!$M$47</f>
        <v>167667.65868956604</v>
      </c>
      <c r="O88" s="193"/>
      <c r="P88" s="220">
        <f ca="1">+P45/Assumptions!$M$48</f>
        <v>115426.59255998016</v>
      </c>
      <c r="Q88" s="193"/>
      <c r="R88" s="193"/>
      <c r="S88" s="193"/>
      <c r="T88" s="220">
        <f ca="1">+T45/Assumptions!$M$49</f>
        <v>17938.167795870391</v>
      </c>
      <c r="U88" s="220">
        <f ca="1">+U45/Assumptions!$M$50</f>
        <v>3750.6274343999999</v>
      </c>
      <c r="X88" s="41"/>
      <c r="Y88" s="41"/>
      <c r="Z88" s="41"/>
      <c r="AA88" s="41"/>
      <c r="AB88" s="41"/>
      <c r="AC88" s="41"/>
      <c r="AD88" s="41"/>
      <c r="AE88" s="41"/>
      <c r="AF88" s="41"/>
      <c r="AG88" s="41"/>
    </row>
    <row r="89" spans="2:55" x14ac:dyDescent="0.35">
      <c r="X89" s="41"/>
      <c r="Y89" s="41"/>
      <c r="Z89" s="41"/>
      <c r="AA89" s="41"/>
      <c r="AB89" s="41"/>
      <c r="AC89" s="41"/>
      <c r="AD89" s="41"/>
      <c r="AE89" s="41"/>
      <c r="AF89" s="41"/>
      <c r="AG89" s="41"/>
    </row>
    <row r="90" spans="2:55" x14ac:dyDescent="0.35">
      <c r="X90" s="41"/>
      <c r="Y90" s="41"/>
      <c r="Z90" s="41"/>
      <c r="AA90" s="41"/>
      <c r="AB90" s="41"/>
      <c r="AC90" s="41"/>
      <c r="AD90" s="41"/>
      <c r="AE90" s="41"/>
      <c r="AF90" s="41"/>
      <c r="AG90" s="41"/>
    </row>
    <row r="91" spans="2:55" x14ac:dyDescent="0.35">
      <c r="X91" s="41"/>
      <c r="Y91" s="41"/>
      <c r="Z91" s="41"/>
      <c r="AA91" s="41"/>
      <c r="AB91" s="41"/>
      <c r="AC91" s="41"/>
      <c r="AD91" s="41"/>
      <c r="AE91" s="41"/>
      <c r="AF91" s="41"/>
      <c r="AG91" s="41"/>
    </row>
    <row r="92" spans="2:55" x14ac:dyDescent="0.35">
      <c r="X92" s="41"/>
      <c r="Y92" s="41"/>
      <c r="Z92" s="41"/>
      <c r="AA92" s="41"/>
      <c r="AB92" s="41"/>
      <c r="AC92" s="41"/>
      <c r="AD92" s="41"/>
      <c r="AE92" s="41"/>
      <c r="AF92" s="41"/>
      <c r="AG92" s="41"/>
    </row>
    <row r="93" spans="2:55" x14ac:dyDescent="0.35">
      <c r="X93" s="41"/>
      <c r="Y93" s="41"/>
      <c r="Z93" s="41"/>
      <c r="AA93" s="41"/>
      <c r="AB93" s="41"/>
      <c r="AC93" s="41"/>
      <c r="AD93" s="41"/>
      <c r="AE93" s="41"/>
      <c r="AF93" s="41"/>
      <c r="AG93" s="41"/>
    </row>
    <row r="94" spans="2:55" x14ac:dyDescent="0.35">
      <c r="X94" s="41"/>
      <c r="Y94" s="41"/>
      <c r="Z94" s="41"/>
      <c r="AA94" s="41"/>
      <c r="AB94" s="41"/>
      <c r="AC94" s="41"/>
      <c r="AD94" s="41"/>
      <c r="AE94" s="41"/>
      <c r="AF94" s="41"/>
      <c r="AG94" s="41"/>
    </row>
    <row r="95" spans="2:55" x14ac:dyDescent="0.35">
      <c r="X95" s="41"/>
      <c r="Y95" s="41"/>
      <c r="Z95" s="41"/>
      <c r="AA95" s="41"/>
      <c r="AB95" s="41"/>
      <c r="AC95" s="41"/>
      <c r="AD95" s="41"/>
      <c r="AE95" s="41"/>
      <c r="AF95" s="41"/>
      <c r="AG95" s="41"/>
    </row>
    <row r="96" spans="2:55" x14ac:dyDescent="0.35">
      <c r="X96" s="41"/>
      <c r="Y96" s="41"/>
      <c r="Z96" s="41"/>
      <c r="AA96" s="41"/>
      <c r="AB96" s="41"/>
      <c r="AC96" s="41"/>
      <c r="AD96" s="41"/>
      <c r="AE96" s="41"/>
      <c r="AF96" s="41"/>
      <c r="AG96" s="41"/>
    </row>
  </sheetData>
  <mergeCells count="4">
    <mergeCell ref="M2:U2"/>
    <mergeCell ref="Y2:AG2"/>
    <mergeCell ref="AJ2:AR2"/>
    <mergeCell ref="AU2:B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2:N64"/>
  <sheetViews>
    <sheetView topLeftCell="A48" zoomScale="90" zoomScaleNormal="90" workbookViewId="0">
      <selection activeCell="B54" sqref="B54"/>
    </sheetView>
  </sheetViews>
  <sheetFormatPr defaultColWidth="10.81640625" defaultRowHeight="15.5" x14ac:dyDescent="0.35"/>
  <cols>
    <col min="1" max="1" width="10.81640625" style="207"/>
    <col min="2" max="2" width="33.1796875" style="207" bestFit="1" customWidth="1"/>
    <col min="3" max="3" width="36.1796875" style="207" bestFit="1" customWidth="1"/>
    <col min="4" max="4" width="11.453125" style="207" bestFit="1" customWidth="1"/>
    <col min="5" max="5" width="13.1796875" style="207" bestFit="1" customWidth="1"/>
    <col min="6" max="6" width="12.81640625" style="207" bestFit="1" customWidth="1"/>
    <col min="7" max="8" width="14.453125" style="207" bestFit="1" customWidth="1"/>
    <col min="9" max="9" width="14.1796875" style="207" customWidth="1"/>
    <col min="10" max="10" width="23.453125" style="207" bestFit="1" customWidth="1"/>
    <col min="11" max="11" width="10.81640625" style="207"/>
    <col min="12" max="12" width="11.453125" style="207" bestFit="1" customWidth="1"/>
    <col min="13" max="13" width="12.453125" style="207" bestFit="1" customWidth="1"/>
    <col min="14" max="16" width="10.81640625" style="207"/>
    <col min="17" max="17" width="11.453125" style="207" bestFit="1" customWidth="1"/>
    <col min="18" max="16384" width="10.81640625" style="207"/>
  </cols>
  <sheetData>
    <row r="2" spans="2:10" ht="16" thickBot="1" x14ac:dyDescent="0.4"/>
    <row r="3" spans="2:10" ht="31" x14ac:dyDescent="0.35">
      <c r="B3" s="435" t="s">
        <v>517</v>
      </c>
      <c r="C3" s="436"/>
      <c r="D3" s="436"/>
      <c r="E3" s="436"/>
      <c r="F3" s="436"/>
      <c r="G3" s="436"/>
      <c r="H3" s="436"/>
      <c r="I3" s="436"/>
      <c r="J3" s="437"/>
    </row>
    <row r="4" spans="2:10" x14ac:dyDescent="0.35">
      <c r="B4" s="412"/>
      <c r="C4" s="424"/>
      <c r="D4" s="424" t="s">
        <v>518</v>
      </c>
      <c r="E4" s="424"/>
      <c r="F4" s="424" t="s">
        <v>245</v>
      </c>
      <c r="G4" s="424" t="s">
        <v>205</v>
      </c>
      <c r="H4" s="424" t="s">
        <v>243</v>
      </c>
      <c r="I4" s="424" t="s">
        <v>244</v>
      </c>
      <c r="J4" s="425" t="s">
        <v>17</v>
      </c>
    </row>
    <row r="5" spans="2:10" x14ac:dyDescent="0.35">
      <c r="B5" s="438" t="s">
        <v>561</v>
      </c>
      <c r="C5" s="424"/>
      <c r="D5" s="424"/>
      <c r="E5" s="424"/>
      <c r="F5" s="424"/>
      <c r="G5" s="424"/>
      <c r="H5" s="424"/>
      <c r="I5" s="424"/>
      <c r="J5" s="425"/>
    </row>
    <row r="6" spans="2:10" x14ac:dyDescent="0.35">
      <c r="B6" s="416" t="s">
        <v>520</v>
      </c>
      <c r="C6" s="446"/>
      <c r="D6" s="473" t="s">
        <v>43</v>
      </c>
      <c r="E6" s="446"/>
      <c r="F6" s="446"/>
      <c r="G6" s="329">
        <f>$C31*G31</f>
        <v>8700000</v>
      </c>
      <c r="H6" s="329">
        <f t="shared" ref="H6:I6" si="0">$C31*H31</f>
        <v>8010000</v>
      </c>
      <c r="I6" s="329">
        <f t="shared" si="0"/>
        <v>0</v>
      </c>
      <c r="J6" s="439">
        <f>SUM(G6:I6)</f>
        <v>16710000</v>
      </c>
    </row>
    <row r="7" spans="2:10" x14ac:dyDescent="0.35">
      <c r="B7" s="416" t="s">
        <v>521</v>
      </c>
      <c r="C7" s="446"/>
      <c r="D7" s="473" t="s">
        <v>43</v>
      </c>
      <c r="E7" s="446"/>
      <c r="F7" s="446"/>
      <c r="G7" s="329">
        <f t="shared" ref="G7:I7" si="1">$C32*G32</f>
        <v>292500</v>
      </c>
      <c r="H7" s="329">
        <f t="shared" si="1"/>
        <v>337500</v>
      </c>
      <c r="I7" s="329">
        <f t="shared" si="1"/>
        <v>3900000</v>
      </c>
      <c r="J7" s="439">
        <f t="shared" ref="J7:J8" si="2">SUM(G7:I7)</f>
        <v>4530000</v>
      </c>
    </row>
    <row r="8" spans="2:10" x14ac:dyDescent="0.35">
      <c r="B8" s="416" t="s">
        <v>522</v>
      </c>
      <c r="C8" s="446"/>
      <c r="D8" s="473" t="s">
        <v>41</v>
      </c>
      <c r="E8" s="446"/>
      <c r="F8" s="446"/>
      <c r="G8" s="329">
        <f t="shared" ref="G8:I10" si="3">$C33*G33</f>
        <v>0</v>
      </c>
      <c r="H8" s="329">
        <f t="shared" si="3"/>
        <v>670000</v>
      </c>
      <c r="I8" s="329">
        <f t="shared" si="3"/>
        <v>5030000</v>
      </c>
      <c r="J8" s="439">
        <f t="shared" si="2"/>
        <v>5700000</v>
      </c>
    </row>
    <row r="9" spans="2:10" x14ac:dyDescent="0.35">
      <c r="B9" s="417" t="s">
        <v>44</v>
      </c>
      <c r="C9" s="446"/>
      <c r="D9" s="473"/>
      <c r="E9" s="446"/>
      <c r="F9" s="446"/>
      <c r="G9" s="329"/>
      <c r="H9" s="329"/>
      <c r="I9" s="329"/>
      <c r="J9" s="439"/>
    </row>
    <row r="10" spans="2:10" x14ac:dyDescent="0.35">
      <c r="B10" s="416" t="s">
        <v>524</v>
      </c>
      <c r="C10" s="446"/>
      <c r="D10" s="473" t="s">
        <v>43</v>
      </c>
      <c r="E10" s="446"/>
      <c r="F10" s="446"/>
      <c r="G10" s="329">
        <f t="shared" si="3"/>
        <v>0</v>
      </c>
      <c r="H10" s="329">
        <f t="shared" si="3"/>
        <v>322000</v>
      </c>
      <c r="I10" s="329">
        <f t="shared" si="3"/>
        <v>1176000</v>
      </c>
      <c r="J10" s="439">
        <f t="shared" ref="J10:J21" si="4">SUM(G10:I10)</f>
        <v>1498000</v>
      </c>
    </row>
    <row r="11" spans="2:10" x14ac:dyDescent="0.35">
      <c r="B11" s="416" t="s">
        <v>525</v>
      </c>
      <c r="C11" s="446"/>
      <c r="D11" s="473"/>
      <c r="E11" s="446"/>
      <c r="F11" s="446"/>
      <c r="G11" s="329"/>
      <c r="H11" s="329"/>
      <c r="I11" s="329"/>
      <c r="J11" s="439"/>
    </row>
    <row r="12" spans="2:10" x14ac:dyDescent="0.35">
      <c r="B12" s="418" t="s">
        <v>526</v>
      </c>
      <c r="C12" s="446"/>
      <c r="D12" s="473" t="s">
        <v>41</v>
      </c>
      <c r="E12" s="446"/>
      <c r="F12" s="446"/>
      <c r="G12" s="329">
        <f t="shared" ref="G12:I12" si="5">$C37*G37</f>
        <v>3520000</v>
      </c>
      <c r="H12" s="329">
        <f t="shared" si="5"/>
        <v>0</v>
      </c>
      <c r="I12" s="329">
        <f t="shared" si="5"/>
        <v>0</v>
      </c>
      <c r="J12" s="439">
        <f t="shared" ref="J12:J14" si="6">SUM(G12:I12)</f>
        <v>3520000</v>
      </c>
    </row>
    <row r="13" spans="2:10" x14ac:dyDescent="0.35">
      <c r="B13" s="418" t="s">
        <v>527</v>
      </c>
      <c r="C13" s="446"/>
      <c r="D13" s="473" t="s">
        <v>41</v>
      </c>
      <c r="E13" s="446"/>
      <c r="F13" s="446"/>
      <c r="G13" s="329">
        <f t="shared" ref="G13:I13" si="7">$C38*G38</f>
        <v>900000</v>
      </c>
      <c r="H13" s="329">
        <f t="shared" si="7"/>
        <v>2628000</v>
      </c>
      <c r="I13" s="329">
        <f t="shared" si="7"/>
        <v>0</v>
      </c>
      <c r="J13" s="439">
        <f t="shared" si="6"/>
        <v>3528000</v>
      </c>
    </row>
    <row r="14" spans="2:10" x14ac:dyDescent="0.35">
      <c r="B14" s="418" t="s">
        <v>528</v>
      </c>
      <c r="C14" s="446"/>
      <c r="D14" s="473" t="s">
        <v>41</v>
      </c>
      <c r="E14" s="446"/>
      <c r="F14" s="446"/>
      <c r="G14" s="329">
        <f t="shared" ref="G14:I21" si="8">$C39*G39</f>
        <v>0</v>
      </c>
      <c r="H14" s="329">
        <f t="shared" si="8"/>
        <v>462000</v>
      </c>
      <c r="I14" s="329">
        <f t="shared" si="8"/>
        <v>9604000</v>
      </c>
      <c r="J14" s="439">
        <f t="shared" si="6"/>
        <v>10066000</v>
      </c>
    </row>
    <row r="15" spans="2:10" x14ac:dyDescent="0.35">
      <c r="B15" s="417" t="s">
        <v>529</v>
      </c>
      <c r="C15" s="446"/>
      <c r="D15" s="473" t="s">
        <v>43</v>
      </c>
      <c r="E15" s="446"/>
      <c r="F15" s="446"/>
      <c r="G15" s="329">
        <f t="shared" si="8"/>
        <v>0</v>
      </c>
      <c r="H15" s="329">
        <f t="shared" si="8"/>
        <v>0</v>
      </c>
      <c r="I15" s="329">
        <f t="shared" si="8"/>
        <v>3414285.7142857141</v>
      </c>
      <c r="J15" s="439">
        <f t="shared" si="4"/>
        <v>3414285.7142857141</v>
      </c>
    </row>
    <row r="16" spans="2:10" x14ac:dyDescent="0.35">
      <c r="B16" s="417" t="s">
        <v>530</v>
      </c>
      <c r="C16" s="446"/>
      <c r="D16" s="473" t="s">
        <v>43</v>
      </c>
      <c r="E16" s="446"/>
      <c r="F16" s="446"/>
      <c r="G16" s="329">
        <f t="shared" si="8"/>
        <v>240000</v>
      </c>
      <c r="H16" s="329">
        <f t="shared" si="8"/>
        <v>200000</v>
      </c>
      <c r="I16" s="329">
        <f t="shared" si="8"/>
        <v>200000</v>
      </c>
      <c r="J16" s="439">
        <f t="shared" si="4"/>
        <v>640000</v>
      </c>
    </row>
    <row r="17" spans="1:12" x14ac:dyDescent="0.35">
      <c r="A17" s="327"/>
      <c r="B17" s="417" t="s">
        <v>531</v>
      </c>
      <c r="C17" s="446"/>
      <c r="D17" s="473"/>
      <c r="E17" s="446"/>
      <c r="F17" s="446"/>
      <c r="G17" s="329"/>
      <c r="H17" s="329"/>
      <c r="I17" s="329"/>
      <c r="J17" s="439"/>
      <c r="K17" s="327"/>
    </row>
    <row r="18" spans="1:12" x14ac:dyDescent="0.35">
      <c r="B18" s="416" t="s">
        <v>532</v>
      </c>
      <c r="C18" s="446"/>
      <c r="D18" s="473" t="s">
        <v>43</v>
      </c>
      <c r="E18" s="446"/>
      <c r="F18" s="446"/>
      <c r="G18" s="329">
        <f t="shared" si="8"/>
        <v>360000</v>
      </c>
      <c r="H18" s="329">
        <f t="shared" si="8"/>
        <v>540000</v>
      </c>
      <c r="I18" s="329">
        <f t="shared" si="8"/>
        <v>450000</v>
      </c>
      <c r="J18" s="439">
        <f t="shared" si="4"/>
        <v>1350000</v>
      </c>
    </row>
    <row r="19" spans="1:12" x14ac:dyDescent="0.35">
      <c r="B19" s="416" t="s">
        <v>533</v>
      </c>
      <c r="C19" s="446"/>
      <c r="D19" s="473" t="s">
        <v>43</v>
      </c>
      <c r="E19" s="446"/>
      <c r="F19" s="446"/>
      <c r="G19" s="329">
        <f t="shared" si="8"/>
        <v>22650</v>
      </c>
      <c r="H19" s="329">
        <f t="shared" si="8"/>
        <v>36240</v>
      </c>
      <c r="I19" s="329">
        <f t="shared" si="8"/>
        <v>18120</v>
      </c>
      <c r="J19" s="439">
        <f t="shared" si="4"/>
        <v>77010</v>
      </c>
    </row>
    <row r="20" spans="1:12" x14ac:dyDescent="0.35">
      <c r="B20" s="416" t="s">
        <v>534</v>
      </c>
      <c r="C20" s="446"/>
      <c r="D20" s="473" t="s">
        <v>43</v>
      </c>
      <c r="E20" s="446"/>
      <c r="F20" s="446"/>
      <c r="G20" s="329">
        <f t="shared" si="8"/>
        <v>2000000</v>
      </c>
      <c r="H20" s="329">
        <f t="shared" si="8"/>
        <v>1000000</v>
      </c>
      <c r="I20" s="329">
        <f t="shared" si="8"/>
        <v>2000000</v>
      </c>
      <c r="J20" s="439">
        <f t="shared" si="4"/>
        <v>5000000</v>
      </c>
    </row>
    <row r="21" spans="1:12" x14ac:dyDescent="0.35">
      <c r="B21" s="419" t="s">
        <v>558</v>
      </c>
      <c r="C21" s="446"/>
      <c r="D21" s="473" t="s">
        <v>43</v>
      </c>
      <c r="E21" s="446"/>
      <c r="F21" s="446"/>
      <c r="G21" s="329">
        <f t="shared" si="8"/>
        <v>10240</v>
      </c>
      <c r="H21" s="329">
        <f t="shared" si="8"/>
        <v>15360</v>
      </c>
      <c r="I21" s="329">
        <f t="shared" si="8"/>
        <v>10240</v>
      </c>
      <c r="J21" s="439">
        <f t="shared" si="4"/>
        <v>35840</v>
      </c>
    </row>
    <row r="22" spans="1:12" x14ac:dyDescent="0.35">
      <c r="B22" s="420" t="s">
        <v>62</v>
      </c>
      <c r="C22" s="446"/>
      <c r="D22" s="473" t="s">
        <v>43</v>
      </c>
      <c r="E22" s="446"/>
      <c r="F22" s="446"/>
      <c r="G22" s="329">
        <f>SUMIF($E$51:$I$51,"="&amp;G4,E64:I64)</f>
        <v>19728157.897872344</v>
      </c>
      <c r="H22" s="329">
        <f>SUMIF($E$51:$I$51,"="&amp;H4,E64:I64)</f>
        <v>0</v>
      </c>
      <c r="I22" s="329">
        <f>SUMIF($E$51:$I$51,"="&amp;I4,E64:I64)</f>
        <v>18326528.234042555</v>
      </c>
      <c r="J22" s="439">
        <f>SUM(G22:I22)</f>
        <v>38054686.131914899</v>
      </c>
    </row>
    <row r="23" spans="1:12" x14ac:dyDescent="0.35">
      <c r="B23" s="421" t="s">
        <v>535</v>
      </c>
      <c r="C23" s="413"/>
      <c r="D23" s="413" t="s">
        <v>43</v>
      </c>
      <c r="E23" s="413"/>
      <c r="F23" s="413"/>
      <c r="G23" s="442">
        <f t="shared" ref="G23:I24" si="9">SUMIF($D$6:$D$22,"="&amp;$D23,G$6:G$22)</f>
        <v>31353547.897872344</v>
      </c>
      <c r="H23" s="442">
        <f t="shared" si="9"/>
        <v>10461100</v>
      </c>
      <c r="I23" s="442">
        <f t="shared" si="9"/>
        <v>29495173.948328272</v>
      </c>
      <c r="J23" s="443">
        <f>SUM(G23:I23)</f>
        <v>71309821.846200615</v>
      </c>
    </row>
    <row r="24" spans="1:12" x14ac:dyDescent="0.35">
      <c r="B24" s="422" t="s">
        <v>536</v>
      </c>
      <c r="C24" s="414"/>
      <c r="D24" s="414" t="s">
        <v>41</v>
      </c>
      <c r="E24" s="414"/>
      <c r="F24" s="414"/>
      <c r="G24" s="444">
        <f t="shared" si="9"/>
        <v>4420000</v>
      </c>
      <c r="H24" s="444">
        <f t="shared" si="9"/>
        <v>3760000</v>
      </c>
      <c r="I24" s="444">
        <f t="shared" si="9"/>
        <v>14634000</v>
      </c>
      <c r="J24" s="445">
        <f>SUM(G24:I24)</f>
        <v>22814000</v>
      </c>
    </row>
    <row r="25" spans="1:12" ht="16" thickBot="1" x14ac:dyDescent="0.4">
      <c r="B25" s="423" t="s">
        <v>17</v>
      </c>
      <c r="C25" s="415"/>
      <c r="D25" s="415"/>
      <c r="E25" s="415"/>
      <c r="F25" s="415"/>
      <c r="G25" s="440">
        <f>SUM(G6:G23)</f>
        <v>67127095.795744687</v>
      </c>
      <c r="H25" s="440">
        <f t="shared" ref="H25:J25" si="10">SUM(H6:H22)</f>
        <v>14221100</v>
      </c>
      <c r="I25" s="440">
        <f t="shared" si="10"/>
        <v>44129173.948328272</v>
      </c>
      <c r="J25" s="441">
        <f t="shared" si="10"/>
        <v>94123821.846200615</v>
      </c>
      <c r="K25" s="426"/>
    </row>
    <row r="26" spans="1:12" x14ac:dyDescent="0.35">
      <c r="B26" s="427"/>
      <c r="C26" s="411"/>
      <c r="D26" s="411"/>
      <c r="E26" s="411"/>
      <c r="F26" s="411"/>
      <c r="G26" s="428"/>
      <c r="H26" s="428"/>
      <c r="I26" s="428"/>
      <c r="J26" s="428"/>
      <c r="K26" s="426"/>
    </row>
    <row r="27" spans="1:12" ht="16" thickBot="1" x14ac:dyDescent="0.4">
      <c r="G27" s="429"/>
      <c r="H27" s="430"/>
    </row>
    <row r="28" spans="1:12" x14ac:dyDescent="0.35">
      <c r="B28" s="435" t="s">
        <v>560</v>
      </c>
      <c r="C28" s="436"/>
      <c r="D28" s="436"/>
      <c r="E28" s="436"/>
      <c r="F28" s="436"/>
      <c r="G28" s="436"/>
      <c r="H28" s="436"/>
      <c r="I28" s="436"/>
      <c r="J28" s="437"/>
    </row>
    <row r="29" spans="1:12" x14ac:dyDescent="0.35">
      <c r="B29" s="417"/>
      <c r="C29" s="424" t="s">
        <v>537</v>
      </c>
      <c r="D29" s="424" t="s">
        <v>233</v>
      </c>
      <c r="E29" s="424"/>
      <c r="F29" s="424" t="s">
        <v>245</v>
      </c>
      <c r="G29" s="424" t="s">
        <v>205</v>
      </c>
      <c r="H29" s="424" t="s">
        <v>243</v>
      </c>
      <c r="I29" s="424" t="s">
        <v>244</v>
      </c>
      <c r="J29" s="425" t="s">
        <v>17</v>
      </c>
    </row>
    <row r="30" spans="1:12" x14ac:dyDescent="0.35">
      <c r="B30" s="417" t="s">
        <v>519</v>
      </c>
      <c r="C30" s="424"/>
      <c r="D30" s="424"/>
      <c r="E30" s="424"/>
      <c r="F30" s="424"/>
      <c r="G30" s="424"/>
      <c r="H30" s="424"/>
      <c r="I30" s="424"/>
      <c r="J30" s="425"/>
      <c r="K30" s="410"/>
    </row>
    <row r="31" spans="1:12" x14ac:dyDescent="0.35">
      <c r="B31" s="416" t="s">
        <v>520</v>
      </c>
      <c r="C31" s="532">
        <v>30</v>
      </c>
      <c r="D31" s="466" t="s">
        <v>538</v>
      </c>
      <c r="E31" s="466"/>
      <c r="F31" s="466"/>
      <c r="G31" s="467">
        <f>290000</f>
        <v>290000</v>
      </c>
      <c r="H31" s="467">
        <f>255000+12000</f>
        <v>267000</v>
      </c>
      <c r="I31" s="467">
        <v>0</v>
      </c>
      <c r="J31" s="528">
        <f>SUM(G31:I31)</f>
        <v>557000</v>
      </c>
      <c r="K31" s="431"/>
    </row>
    <row r="32" spans="1:12" x14ac:dyDescent="0.35">
      <c r="B32" s="416" t="s">
        <v>521</v>
      </c>
      <c r="C32" s="532">
        <f>25%*C31</f>
        <v>7.5</v>
      </c>
      <c r="D32" s="466" t="s">
        <v>538</v>
      </c>
      <c r="E32" s="466"/>
      <c r="F32" s="466"/>
      <c r="G32" s="467">
        <v>39000</v>
      </c>
      <c r="H32" s="467">
        <v>45000</v>
      </c>
      <c r="I32" s="467">
        <v>520000</v>
      </c>
      <c r="J32" s="528">
        <f t="shared" ref="J32:J45" si="11">SUM(G32:I32)</f>
        <v>604000</v>
      </c>
      <c r="K32" s="431"/>
      <c r="L32" s="538"/>
    </row>
    <row r="33" spans="2:14" x14ac:dyDescent="0.35">
      <c r="B33" s="416" t="s">
        <v>522</v>
      </c>
      <c r="C33" s="532">
        <v>10</v>
      </c>
      <c r="D33" s="466" t="s">
        <v>538</v>
      </c>
      <c r="E33" s="466"/>
      <c r="F33" s="466"/>
      <c r="G33" s="467"/>
      <c r="H33" s="467">
        <v>67000</v>
      </c>
      <c r="I33" s="467">
        <v>503000</v>
      </c>
      <c r="J33" s="528"/>
      <c r="K33" s="431"/>
      <c r="L33" s="538"/>
    </row>
    <row r="34" spans="2:14" x14ac:dyDescent="0.35">
      <c r="B34" s="417" t="s">
        <v>523</v>
      </c>
      <c r="C34" s="532"/>
      <c r="D34" s="466"/>
      <c r="E34" s="466"/>
      <c r="F34" s="466"/>
      <c r="G34" s="466"/>
      <c r="H34" s="466"/>
      <c r="I34" s="466"/>
      <c r="J34" s="529"/>
      <c r="K34" s="432"/>
    </row>
    <row r="35" spans="2:14" x14ac:dyDescent="0.35">
      <c r="B35" s="416" t="s">
        <v>524</v>
      </c>
      <c r="C35" s="532">
        <v>28</v>
      </c>
      <c r="D35" s="466" t="s">
        <v>538</v>
      </c>
      <c r="E35" s="466"/>
      <c r="F35" s="466"/>
      <c r="G35" s="467">
        <v>0</v>
      </c>
      <c r="H35" s="467">
        <v>11500</v>
      </c>
      <c r="I35" s="467">
        <v>42000</v>
      </c>
      <c r="J35" s="528">
        <f t="shared" si="11"/>
        <v>53500</v>
      </c>
      <c r="K35" s="431"/>
    </row>
    <row r="36" spans="2:14" x14ac:dyDescent="0.35">
      <c r="B36" s="416" t="s">
        <v>525</v>
      </c>
      <c r="C36" s="532"/>
      <c r="D36" s="466"/>
      <c r="E36" s="466"/>
      <c r="F36" s="466"/>
      <c r="G36" s="467"/>
      <c r="H36" s="467"/>
      <c r="I36" s="467"/>
      <c r="J36" s="528"/>
      <c r="K36" s="431"/>
    </row>
    <row r="37" spans="2:14" x14ac:dyDescent="0.35">
      <c r="B37" s="418" t="s">
        <v>526</v>
      </c>
      <c r="C37" s="532">
        <v>22</v>
      </c>
      <c r="D37" s="466" t="s">
        <v>538</v>
      </c>
      <c r="E37" s="466"/>
      <c r="F37" s="466"/>
      <c r="G37" s="467">
        <v>160000</v>
      </c>
      <c r="H37" s="467"/>
      <c r="I37" s="467"/>
      <c r="J37" s="528">
        <f t="shared" si="11"/>
        <v>160000</v>
      </c>
      <c r="K37" s="431"/>
    </row>
    <row r="38" spans="2:14" x14ac:dyDescent="0.35">
      <c r="B38" s="418" t="s">
        <v>527</v>
      </c>
      <c r="C38" s="532">
        <v>18</v>
      </c>
      <c r="D38" s="466" t="s">
        <v>538</v>
      </c>
      <c r="E38" s="466"/>
      <c r="F38" s="466"/>
      <c r="G38" s="467">
        <v>50000</v>
      </c>
      <c r="H38" s="467">
        <f>127000+19000</f>
        <v>146000</v>
      </c>
      <c r="I38" s="467"/>
      <c r="J38" s="528">
        <f t="shared" si="11"/>
        <v>196000</v>
      </c>
      <c r="K38" s="431"/>
    </row>
    <row r="39" spans="2:14" x14ac:dyDescent="0.35">
      <c r="B39" s="418" t="s">
        <v>528</v>
      </c>
      <c r="C39" s="532">
        <v>14</v>
      </c>
      <c r="D39" s="466" t="s">
        <v>538</v>
      </c>
      <c r="E39" s="466"/>
      <c r="F39" s="466"/>
      <c r="G39" s="467">
        <v>0</v>
      </c>
      <c r="H39" s="467">
        <v>33000</v>
      </c>
      <c r="I39" s="467">
        <v>686000</v>
      </c>
      <c r="J39" s="528">
        <f t="shared" si="11"/>
        <v>719000</v>
      </c>
      <c r="K39" s="431"/>
    </row>
    <row r="40" spans="2:14" ht="18.5" x14ac:dyDescent="0.35">
      <c r="B40" s="417" t="s">
        <v>606</v>
      </c>
      <c r="C40" s="532">
        <f>23900000 / 7</f>
        <v>3414285.7142857141</v>
      </c>
      <c r="D40" s="466"/>
      <c r="E40" s="466"/>
      <c r="F40" s="466"/>
      <c r="G40" s="466"/>
      <c r="H40" s="466"/>
      <c r="I40" s="466">
        <v>1</v>
      </c>
      <c r="J40" s="529">
        <f t="shared" si="11"/>
        <v>1</v>
      </c>
      <c r="K40" s="432"/>
    </row>
    <row r="41" spans="2:14" x14ac:dyDescent="0.35">
      <c r="B41" s="417" t="s">
        <v>530</v>
      </c>
      <c r="C41" s="532">
        <v>40000</v>
      </c>
      <c r="D41" s="466" t="s">
        <v>539</v>
      </c>
      <c r="E41" s="466"/>
      <c r="F41" s="466"/>
      <c r="G41" s="466">
        <v>6</v>
      </c>
      <c r="H41" s="466">
        <v>5</v>
      </c>
      <c r="I41" s="466">
        <v>5</v>
      </c>
      <c r="J41" s="529">
        <f>SUM(G41:I41)</f>
        <v>16</v>
      </c>
    </row>
    <row r="42" spans="2:14" x14ac:dyDescent="0.35">
      <c r="B42" s="417" t="s">
        <v>531</v>
      </c>
      <c r="C42" s="532"/>
      <c r="D42" s="466"/>
      <c r="E42" s="466"/>
      <c r="F42" s="466"/>
      <c r="G42" s="466"/>
      <c r="H42" s="466"/>
      <c r="I42" s="466"/>
      <c r="J42" s="529"/>
    </row>
    <row r="43" spans="2:14" x14ac:dyDescent="0.35">
      <c r="B43" s="416" t="s">
        <v>532</v>
      </c>
      <c r="C43" s="532">
        <v>90000</v>
      </c>
      <c r="D43" s="466"/>
      <c r="E43" s="466"/>
      <c r="F43" s="466"/>
      <c r="G43" s="466">
        <v>4</v>
      </c>
      <c r="H43" s="466">
        <v>6</v>
      </c>
      <c r="I43" s="466">
        <v>5</v>
      </c>
      <c r="J43" s="529">
        <f t="shared" si="11"/>
        <v>15</v>
      </c>
    </row>
    <row r="44" spans="2:14" x14ac:dyDescent="0.35">
      <c r="B44" s="416" t="s">
        <v>533</v>
      </c>
      <c r="C44" s="532">
        <v>45.3</v>
      </c>
      <c r="D44" s="466" t="s">
        <v>540</v>
      </c>
      <c r="E44" s="466"/>
      <c r="F44" s="466"/>
      <c r="G44" s="466">
        <v>500</v>
      </c>
      <c r="H44" s="466">
        <v>800</v>
      </c>
      <c r="I44" s="466">
        <v>400</v>
      </c>
      <c r="J44" s="529">
        <f t="shared" si="11"/>
        <v>1700</v>
      </c>
      <c r="N44" s="433"/>
    </row>
    <row r="45" spans="2:14" x14ac:dyDescent="0.35">
      <c r="B45" s="416" t="s">
        <v>534</v>
      </c>
      <c r="C45" s="532">
        <v>1000000</v>
      </c>
      <c r="D45" s="466"/>
      <c r="E45" s="466"/>
      <c r="F45" s="466"/>
      <c r="G45" s="466">
        <v>2</v>
      </c>
      <c r="H45" s="466">
        <v>1</v>
      </c>
      <c r="I45" s="466">
        <v>2</v>
      </c>
      <c r="J45" s="529">
        <f t="shared" si="11"/>
        <v>5</v>
      </c>
    </row>
    <row r="46" spans="2:14" ht="16" thickBot="1" x14ac:dyDescent="0.4">
      <c r="B46" s="447" t="s">
        <v>559</v>
      </c>
      <c r="C46" s="536">
        <v>25.6</v>
      </c>
      <c r="D46" s="468" t="s">
        <v>540</v>
      </c>
      <c r="E46" s="468"/>
      <c r="F46" s="468"/>
      <c r="G46" s="468">
        <v>400</v>
      </c>
      <c r="H46" s="468">
        <v>600</v>
      </c>
      <c r="I46" s="468">
        <v>400</v>
      </c>
      <c r="J46" s="530">
        <f>SUM(G46:I46)</f>
        <v>1400</v>
      </c>
      <c r="N46" s="433"/>
    </row>
    <row r="47" spans="2:14" x14ac:dyDescent="0.35">
      <c r="B47" s="531" t="s">
        <v>605</v>
      </c>
      <c r="C47" s="411"/>
      <c r="D47" s="411"/>
      <c r="E47" s="411"/>
      <c r="F47" s="411"/>
      <c r="G47" s="411"/>
      <c r="H47" s="432"/>
      <c r="L47" s="433"/>
    </row>
    <row r="48" spans="2:14" ht="16" thickBot="1" x14ac:dyDescent="0.4"/>
    <row r="49" spans="2:11" x14ac:dyDescent="0.35">
      <c r="B49" s="806" t="s">
        <v>541</v>
      </c>
      <c r="C49" s="807"/>
      <c r="D49" s="807"/>
      <c r="E49" s="807"/>
      <c r="F49" s="807"/>
      <c r="G49" s="807"/>
      <c r="H49" s="807"/>
      <c r="I49" s="807"/>
      <c r="J49" s="808"/>
    </row>
    <row r="50" spans="2:11" x14ac:dyDescent="0.35">
      <c r="B50" s="448" t="s">
        <v>542</v>
      </c>
      <c r="C50" s="449" t="s">
        <v>37</v>
      </c>
      <c r="D50" s="449" t="s">
        <v>233</v>
      </c>
      <c r="E50" s="449" t="s">
        <v>543</v>
      </c>
      <c r="F50" s="449" t="s">
        <v>544</v>
      </c>
      <c r="G50" s="449" t="s">
        <v>545</v>
      </c>
      <c r="H50" s="449" t="s">
        <v>546</v>
      </c>
      <c r="I50" s="464" t="s">
        <v>563</v>
      </c>
      <c r="J50" s="450" t="s">
        <v>17</v>
      </c>
    </row>
    <row r="51" spans="2:11" x14ac:dyDescent="0.35">
      <c r="B51" s="448" t="s">
        <v>245</v>
      </c>
      <c r="C51" s="449"/>
      <c r="D51" s="449"/>
      <c r="E51" s="451" t="str">
        <f>VLOOKUP(E50,'Parcel Breakdown'!$A$6:$C$22,3,FALSE)</f>
        <v>III</v>
      </c>
      <c r="F51" s="451" t="str">
        <f>VLOOKUP(F50,'Parcel Breakdown'!$A$6:$C$22,3,FALSE)</f>
        <v>III</v>
      </c>
      <c r="G51" s="451" t="str">
        <f>VLOOKUP(G50,'Parcel Breakdown'!$A$6:$C$22,3,FALSE)</f>
        <v>I</v>
      </c>
      <c r="H51" s="451" t="str">
        <f>VLOOKUP(H50,'Parcel Breakdown'!$A$6:$C$22,3,FALSE)</f>
        <v>I</v>
      </c>
      <c r="I51" s="451" t="str">
        <f>VLOOKUP(I50,'Parcel Breakdown'!$A$6:$C$22,3,FALSE)</f>
        <v>I</v>
      </c>
      <c r="J51" s="452"/>
    </row>
    <row r="52" spans="2:11" x14ac:dyDescent="0.35">
      <c r="B52" s="448" t="s">
        <v>547</v>
      </c>
      <c r="C52" s="463"/>
      <c r="D52" s="463"/>
      <c r="E52" s="451">
        <f>VLOOKUP(E50,'Parcel Breakdown'!$A$6:$E$22,5,FALSE)</f>
        <v>53728</v>
      </c>
      <c r="F52" s="451">
        <f>VLOOKUP(F50,'Parcel Breakdown'!$A$6:$E$22,5,FALSE)</f>
        <v>53502</v>
      </c>
      <c r="G52" s="451">
        <f>VLOOKUP(G50,'Parcel Breakdown'!$A$6:$E$22,5,FALSE)</f>
        <v>53024</v>
      </c>
      <c r="H52" s="451">
        <f>VLOOKUP(H50,'Parcel Breakdown'!$A$6:$E$22,5,FALSE)</f>
        <v>53564</v>
      </c>
      <c r="I52" s="465">
        <v>17000</v>
      </c>
      <c r="J52" s="452">
        <f>SUM(E52:I52)</f>
        <v>230818</v>
      </c>
    </row>
    <row r="53" spans="2:11" x14ac:dyDescent="0.35">
      <c r="B53" s="416" t="s">
        <v>548</v>
      </c>
      <c r="C53" s="532">
        <v>120</v>
      </c>
      <c r="D53" s="467" t="s">
        <v>538</v>
      </c>
      <c r="E53" s="451">
        <f>$C53*E$52</f>
        <v>6447360</v>
      </c>
      <c r="F53" s="451">
        <f t="shared" ref="F53:I55" si="12">$C53*F$52</f>
        <v>6420240</v>
      </c>
      <c r="G53" s="451">
        <f t="shared" si="12"/>
        <v>6362880</v>
      </c>
      <c r="H53" s="451">
        <f t="shared" si="12"/>
        <v>6427680</v>
      </c>
      <c r="I53" s="451">
        <f t="shared" si="12"/>
        <v>2040000</v>
      </c>
      <c r="J53" s="452">
        <f t="shared" ref="J53:J55" si="13">SUM(E53:I53)</f>
        <v>27698160</v>
      </c>
    </row>
    <row r="54" spans="2:11" x14ac:dyDescent="0.35">
      <c r="B54" s="416" t="s">
        <v>549</v>
      </c>
      <c r="C54" s="532">
        <v>50000</v>
      </c>
      <c r="D54" s="467"/>
      <c r="E54" s="451">
        <f>2*$C$54</f>
        <v>100000</v>
      </c>
      <c r="F54" s="451">
        <f>4*$C$54</f>
        <v>200000</v>
      </c>
      <c r="G54" s="451">
        <f>4*$C$54</f>
        <v>200000</v>
      </c>
      <c r="H54" s="451">
        <f>4*$C$54</f>
        <v>200000</v>
      </c>
      <c r="I54" s="451">
        <f t="shared" ref="I54" si="14">2*$C$54</f>
        <v>100000</v>
      </c>
      <c r="J54" s="452">
        <f t="shared" si="13"/>
        <v>800000</v>
      </c>
    </row>
    <row r="55" spans="2:11" x14ac:dyDescent="0.35">
      <c r="B55" s="416" t="s">
        <v>550</v>
      </c>
      <c r="C55" s="532">
        <f>(579150+1044900*2+465750)/(170*150*2+300*150*2)</f>
        <v>22.23191489361702</v>
      </c>
      <c r="D55" s="467" t="s">
        <v>538</v>
      </c>
      <c r="E55" s="451">
        <f>$C55*E$52</f>
        <v>1194476.3234042553</v>
      </c>
      <c r="F55" s="451">
        <f t="shared" si="12"/>
        <v>1189451.9106382979</v>
      </c>
      <c r="G55" s="451">
        <f t="shared" si="12"/>
        <v>1178825.0553191488</v>
      </c>
      <c r="H55" s="451">
        <f t="shared" si="12"/>
        <v>1190830.289361702</v>
      </c>
      <c r="I55" s="451">
        <f t="shared" si="12"/>
        <v>377942.55319148937</v>
      </c>
      <c r="J55" s="452">
        <f t="shared" si="13"/>
        <v>5131526.1319148941</v>
      </c>
    </row>
    <row r="56" spans="2:11" x14ac:dyDescent="0.35">
      <c r="B56" s="454" t="s">
        <v>551</v>
      </c>
      <c r="C56" s="469"/>
      <c r="D56" s="469"/>
      <c r="E56" s="456">
        <f>SUM(E53:E55)</f>
        <v>7741836.3234042553</v>
      </c>
      <c r="F56" s="456">
        <f t="shared" ref="F56:I56" si="15">SUM(F53:F55)</f>
        <v>7809691.9106382979</v>
      </c>
      <c r="G56" s="456">
        <f t="shared" si="15"/>
        <v>7741705.055319149</v>
      </c>
      <c r="H56" s="456">
        <f t="shared" si="15"/>
        <v>7818510.2893617023</v>
      </c>
      <c r="I56" s="456">
        <f t="shared" si="15"/>
        <v>2517942.5531914895</v>
      </c>
      <c r="J56" s="457">
        <f>SUM(E56:I56)</f>
        <v>33629686.131914891</v>
      </c>
    </row>
    <row r="57" spans="2:11" x14ac:dyDescent="0.35">
      <c r="B57" s="417" t="s">
        <v>552</v>
      </c>
      <c r="C57" s="470"/>
      <c r="D57" s="470"/>
      <c r="E57" s="453"/>
      <c r="F57" s="453"/>
      <c r="G57" s="453"/>
      <c r="H57" s="453"/>
      <c r="I57" s="453"/>
      <c r="J57" s="458"/>
    </row>
    <row r="58" spans="2:11" x14ac:dyDescent="0.35">
      <c r="B58" s="448" t="s">
        <v>553</v>
      </c>
      <c r="C58" s="470"/>
      <c r="D58" s="470"/>
      <c r="E58" s="327"/>
      <c r="F58" s="327"/>
      <c r="G58" s="327"/>
      <c r="H58" s="327"/>
      <c r="I58" s="327"/>
      <c r="J58" s="452"/>
    </row>
    <row r="59" spans="2:11" x14ac:dyDescent="0.35">
      <c r="B59" s="416" t="s">
        <v>554</v>
      </c>
      <c r="C59" s="714">
        <v>50</v>
      </c>
      <c r="D59" s="467" t="s">
        <v>565</v>
      </c>
      <c r="E59" s="453"/>
      <c r="F59" s="453"/>
      <c r="G59" s="453"/>
      <c r="H59" s="453"/>
      <c r="I59" s="453"/>
      <c r="J59" s="452"/>
    </row>
    <row r="60" spans="2:11" x14ac:dyDescent="0.35">
      <c r="B60" s="416" t="s">
        <v>555</v>
      </c>
      <c r="C60" s="714">
        <v>3</v>
      </c>
      <c r="D60" s="467" t="s">
        <v>565</v>
      </c>
      <c r="E60" s="327"/>
      <c r="F60" s="327"/>
      <c r="G60" s="327"/>
      <c r="H60" s="327"/>
      <c r="I60" s="327"/>
      <c r="J60" s="434"/>
    </row>
    <row r="61" spans="2:11" x14ac:dyDescent="0.35">
      <c r="B61" s="416" t="s">
        <v>556</v>
      </c>
      <c r="C61" s="540"/>
      <c r="D61" s="470" t="s">
        <v>540</v>
      </c>
      <c r="E61" s="465">
        <v>75</v>
      </c>
      <c r="F61" s="465">
        <v>110</v>
      </c>
      <c r="G61" s="465">
        <v>0</v>
      </c>
      <c r="H61" s="465">
        <v>110</v>
      </c>
      <c r="I61" s="465">
        <v>0</v>
      </c>
      <c r="J61" s="452">
        <f>SUM(E61:I61)</f>
        <v>295</v>
      </c>
    </row>
    <row r="62" spans="2:11" x14ac:dyDescent="0.35">
      <c r="B62" s="416" t="s">
        <v>557</v>
      </c>
      <c r="C62" s="540">
        <v>100</v>
      </c>
      <c r="D62" s="471" t="s">
        <v>566</v>
      </c>
      <c r="E62" s="451">
        <f>$C$62*E61*$C$60*$C$59</f>
        <v>1125000</v>
      </c>
      <c r="F62" s="451">
        <f t="shared" ref="F62:I62" si="16">$C$62*F61*$C$60*$C$59</f>
        <v>1650000</v>
      </c>
      <c r="G62" s="451">
        <f t="shared" si="16"/>
        <v>0</v>
      </c>
      <c r="H62" s="451">
        <f t="shared" si="16"/>
        <v>1650000</v>
      </c>
      <c r="I62" s="451">
        <f t="shared" si="16"/>
        <v>0</v>
      </c>
      <c r="J62" s="452">
        <f>SUM(E62:I62)</f>
        <v>4425000</v>
      </c>
      <c r="K62" s="433"/>
    </row>
    <row r="63" spans="2:11" x14ac:dyDescent="0.35">
      <c r="B63" s="454" t="s">
        <v>551</v>
      </c>
      <c r="C63" s="455"/>
      <c r="D63" s="455"/>
      <c r="E63" s="456">
        <f t="shared" ref="E63:J63" si="17">E62</f>
        <v>1125000</v>
      </c>
      <c r="F63" s="456">
        <f t="shared" si="17"/>
        <v>1650000</v>
      </c>
      <c r="G63" s="456">
        <f t="shared" si="17"/>
        <v>0</v>
      </c>
      <c r="H63" s="456">
        <f t="shared" si="17"/>
        <v>1650000</v>
      </c>
      <c r="I63" s="456">
        <f t="shared" si="17"/>
        <v>0</v>
      </c>
      <c r="J63" s="457">
        <f t="shared" si="17"/>
        <v>4425000</v>
      </c>
    </row>
    <row r="64" spans="2:11" ht="16" thickBot="1" x14ac:dyDescent="0.4">
      <c r="B64" s="459" t="s">
        <v>17</v>
      </c>
      <c r="C64" s="460"/>
      <c r="D64" s="460"/>
      <c r="E64" s="461">
        <f t="shared" ref="E64:J64" si="18">E63+E56</f>
        <v>8866836.3234042563</v>
      </c>
      <c r="F64" s="461">
        <f t="shared" si="18"/>
        <v>9459691.9106382988</v>
      </c>
      <c r="G64" s="461">
        <f t="shared" si="18"/>
        <v>7741705.055319149</v>
      </c>
      <c r="H64" s="461">
        <f t="shared" si="18"/>
        <v>9468510.2893617023</v>
      </c>
      <c r="I64" s="461">
        <f t="shared" si="18"/>
        <v>2517942.5531914895</v>
      </c>
      <c r="J64" s="462">
        <f t="shared" si="18"/>
        <v>38054686.131914891</v>
      </c>
    </row>
  </sheetData>
  <mergeCells count="1">
    <mergeCell ref="B49:J49"/>
  </mergeCells>
  <hyperlinks>
    <hyperlink ref="T21" r:id="rId1" display="https://www.michigan.gov/documents/Vol2-28UIP1Foundations-Frames_121070_7.pdf" xr:uid="{00000000-0004-0000-0600-000000000000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C1:H59"/>
  <sheetViews>
    <sheetView topLeftCell="A13" zoomScale="85" zoomScaleNormal="85" workbookViewId="0">
      <selection activeCell="C12" sqref="C12"/>
    </sheetView>
  </sheetViews>
  <sheetFormatPr defaultColWidth="10.81640625" defaultRowHeight="15.5" x14ac:dyDescent="0.35"/>
  <cols>
    <col min="1" max="2" width="10.81640625" style="207"/>
    <col min="3" max="3" width="34.453125" style="207" bestFit="1" customWidth="1"/>
    <col min="4" max="6" width="29.453125" style="207" customWidth="1"/>
    <col min="7" max="7" width="20.1796875" style="207" bestFit="1" customWidth="1"/>
    <col min="8" max="8" width="23.453125" style="207" customWidth="1"/>
    <col min="9" max="9" width="10.81640625" style="207"/>
    <col min="10" max="10" width="13" style="207" bestFit="1" customWidth="1"/>
    <col min="11" max="11" width="12.453125" style="207" bestFit="1" customWidth="1"/>
    <col min="12" max="16384" width="10.81640625" style="207"/>
  </cols>
  <sheetData>
    <row r="1" spans="3:7" ht="16" thickBot="1" x14ac:dyDescent="0.4"/>
    <row r="2" spans="3:7" x14ac:dyDescent="0.35">
      <c r="C2" s="809" t="s">
        <v>604</v>
      </c>
      <c r="D2" s="810"/>
      <c r="E2" s="811"/>
    </row>
    <row r="3" spans="3:7" x14ac:dyDescent="0.35">
      <c r="C3" s="487" t="s">
        <v>570</v>
      </c>
      <c r="D3" s="517" t="s">
        <v>245</v>
      </c>
      <c r="E3" s="518"/>
    </row>
    <row r="4" spans="3:7" x14ac:dyDescent="0.35">
      <c r="C4" s="417" t="s">
        <v>769</v>
      </c>
      <c r="D4" s="750" t="s">
        <v>768</v>
      </c>
      <c r="E4" s="751">
        <v>3</v>
      </c>
    </row>
    <row r="5" spans="3:7" x14ac:dyDescent="0.35">
      <c r="C5" s="472" t="s">
        <v>572</v>
      </c>
      <c r="D5" s="473" t="str">
        <f>VLOOKUP(C5,'Parcel Breakdown'!$A$6:$C$22,3,FALSE)</f>
        <v>II</v>
      </c>
      <c r="E5" s="521">
        <f>F22</f>
        <v>140400</v>
      </c>
    </row>
    <row r="6" spans="3:7" x14ac:dyDescent="0.35">
      <c r="C6" s="472" t="s">
        <v>573</v>
      </c>
      <c r="D6" s="473" t="str">
        <f>VLOOKUP(C6,'Parcel Breakdown'!$A$6:$C$22,3,FALSE)</f>
        <v>II</v>
      </c>
      <c r="E6" s="521">
        <f>G22</f>
        <v>678572.10714285716</v>
      </c>
    </row>
    <row r="7" spans="3:7" x14ac:dyDescent="0.35">
      <c r="C7" s="472" t="s">
        <v>595</v>
      </c>
      <c r="D7" s="473" t="str">
        <f>VLOOKUP(C7,'Parcel Breakdown'!$A$6:$C$22,3,FALSE)</f>
        <v>III</v>
      </c>
      <c r="E7" s="521">
        <f>D58</f>
        <v>4506350</v>
      </c>
    </row>
    <row r="8" spans="3:7" x14ac:dyDescent="0.35">
      <c r="C8" s="472" t="s">
        <v>580</v>
      </c>
      <c r="D8" s="473" t="str">
        <f>VLOOKUP(C8,'Parcel Breakdown'!$A$6:$C$22,3,FALSE)</f>
        <v>I</v>
      </c>
      <c r="E8" s="521">
        <f>SUM(D49:E49)+E58</f>
        <v>6900150</v>
      </c>
    </row>
    <row r="9" spans="3:7" x14ac:dyDescent="0.35">
      <c r="C9" s="476" t="s">
        <v>581</v>
      </c>
      <c r="D9" s="473" t="str">
        <f>VLOOKUP(C9,'Parcel Breakdown'!$A$6:$C$22,3,FALSE)</f>
        <v>III</v>
      </c>
      <c r="E9" s="521">
        <f>F49</f>
        <v>3281849.9999999995</v>
      </c>
    </row>
    <row r="10" spans="3:7" x14ac:dyDescent="0.35">
      <c r="C10" s="476" t="s">
        <v>571</v>
      </c>
      <c r="D10" s="473" t="str">
        <f>VLOOKUP(C10,'Parcel Breakdown'!$A$6:$C$22,3,FALSE)</f>
        <v>III</v>
      </c>
      <c r="E10" s="521">
        <f>E22+G49</f>
        <v>1333386</v>
      </c>
    </row>
    <row r="11" spans="3:7" ht="16" thickBot="1" x14ac:dyDescent="0.4">
      <c r="C11" s="519" t="s">
        <v>17</v>
      </c>
      <c r="D11" s="520"/>
      <c r="E11" s="522">
        <f>SUM(E4:E10)</f>
        <v>16840711.107142858</v>
      </c>
    </row>
    <row r="12" spans="3:7" x14ac:dyDescent="0.35">
      <c r="C12" s="752" t="s">
        <v>770</v>
      </c>
    </row>
    <row r="13" spans="3:7" ht="16" thickBot="1" x14ac:dyDescent="0.4">
      <c r="C13" s="531"/>
    </row>
    <row r="14" spans="3:7" x14ac:dyDescent="0.35">
      <c r="C14" s="809" t="s">
        <v>603</v>
      </c>
      <c r="D14" s="810"/>
      <c r="E14" s="810"/>
      <c r="F14" s="810"/>
      <c r="G14" s="811"/>
    </row>
    <row r="15" spans="3:7" x14ac:dyDescent="0.35">
      <c r="C15" s="487" t="s">
        <v>567</v>
      </c>
      <c r="D15" s="509"/>
      <c r="E15" s="814" t="s">
        <v>568</v>
      </c>
      <c r="F15" s="815"/>
      <c r="G15" s="488" t="s">
        <v>569</v>
      </c>
    </row>
    <row r="16" spans="3:7" x14ac:dyDescent="0.35">
      <c r="C16" s="472" t="s">
        <v>570</v>
      </c>
      <c r="D16" s="327"/>
      <c r="E16" s="490" t="s">
        <v>571</v>
      </c>
      <c r="F16" s="491" t="s">
        <v>572</v>
      </c>
      <c r="G16" s="474" t="s">
        <v>573</v>
      </c>
    </row>
    <row r="17" spans="3:7" x14ac:dyDescent="0.35">
      <c r="C17" s="475" t="s">
        <v>574</v>
      </c>
      <c r="D17" s="504"/>
      <c r="E17" s="511">
        <v>0.15</v>
      </c>
      <c r="F17" s="523">
        <v>0.05</v>
      </c>
      <c r="G17" s="524">
        <v>0.05</v>
      </c>
    </row>
    <row r="18" spans="3:7" x14ac:dyDescent="0.35">
      <c r="C18" s="476" t="s">
        <v>575</v>
      </c>
      <c r="D18" s="505"/>
      <c r="E18" s="818">
        <v>2000</v>
      </c>
      <c r="F18" s="819"/>
      <c r="G18" s="525">
        <v>2003</v>
      </c>
    </row>
    <row r="19" spans="3:7" x14ac:dyDescent="0.35">
      <c r="C19" s="476" t="s">
        <v>576</v>
      </c>
      <c r="D19" s="505"/>
      <c r="E19" s="820">
        <v>25</v>
      </c>
      <c r="F19" s="821"/>
      <c r="G19" s="526">
        <v>35</v>
      </c>
    </row>
    <row r="20" spans="3:7" x14ac:dyDescent="0.35">
      <c r="C20" s="476" t="s">
        <v>577</v>
      </c>
      <c r="D20" s="505"/>
      <c r="E20" s="822">
        <f>E18+E19-2019</f>
        <v>6</v>
      </c>
      <c r="F20" s="823"/>
      <c r="G20" s="483">
        <f>G18+G19-2019</f>
        <v>19</v>
      </c>
    </row>
    <row r="21" spans="3:7" x14ac:dyDescent="0.35">
      <c r="C21" s="476" t="s">
        <v>602</v>
      </c>
      <c r="D21" s="505"/>
      <c r="E21" s="824">
        <f>E35</f>
        <v>11700000</v>
      </c>
      <c r="F21" s="825"/>
      <c r="G21" s="494">
        <f>G35</f>
        <v>25000025</v>
      </c>
    </row>
    <row r="22" spans="3:7" x14ac:dyDescent="0.35">
      <c r="C22" s="489" t="s">
        <v>578</v>
      </c>
      <c r="D22" s="506"/>
      <c r="E22" s="495">
        <f>E21/E19*E20*E17</f>
        <v>421200</v>
      </c>
      <c r="F22" s="496">
        <f>E21/E19*E20*F17</f>
        <v>140400</v>
      </c>
      <c r="G22" s="497">
        <f>G21/G19*G20*G17</f>
        <v>678572.10714285716</v>
      </c>
    </row>
    <row r="23" spans="3:7" hidden="1" x14ac:dyDescent="0.35">
      <c r="C23" s="472" t="s">
        <v>601</v>
      </c>
      <c r="D23" s="327"/>
      <c r="E23" s="490"/>
      <c r="F23" s="491"/>
      <c r="G23" s="474"/>
    </row>
    <row r="24" spans="3:7" hidden="1" x14ac:dyDescent="0.35">
      <c r="C24" s="477">
        <v>1</v>
      </c>
      <c r="D24" s="507"/>
      <c r="E24" s="812">
        <v>1700000</v>
      </c>
      <c r="F24" s="813"/>
      <c r="G24" s="483">
        <v>2500000</v>
      </c>
    </row>
    <row r="25" spans="3:7" hidden="1" x14ac:dyDescent="0.35">
      <c r="C25" s="477">
        <f>C24+1</f>
        <v>2</v>
      </c>
      <c r="D25" s="507"/>
      <c r="E25" s="812">
        <f>E24-100000</f>
        <v>1600000</v>
      </c>
      <c r="F25" s="813"/>
      <c r="G25" s="483">
        <f>G24</f>
        <v>2500000</v>
      </c>
    </row>
    <row r="26" spans="3:7" hidden="1" x14ac:dyDescent="0.35">
      <c r="C26" s="477">
        <f t="shared" ref="C26:C33" si="0">C25+1</f>
        <v>3</v>
      </c>
      <c r="D26" s="507"/>
      <c r="E26" s="812">
        <f t="shared" ref="E26:E32" si="1">E25-100000</f>
        <v>1500000</v>
      </c>
      <c r="F26" s="813"/>
      <c r="G26" s="483">
        <f t="shared" ref="G26:G33" si="2">G25</f>
        <v>2500000</v>
      </c>
    </row>
    <row r="27" spans="3:7" hidden="1" x14ac:dyDescent="0.35">
      <c r="C27" s="477">
        <f t="shared" si="0"/>
        <v>4</v>
      </c>
      <c r="D27" s="507"/>
      <c r="E27" s="812">
        <f t="shared" si="1"/>
        <v>1400000</v>
      </c>
      <c r="F27" s="813"/>
      <c r="G27" s="483">
        <f t="shared" si="2"/>
        <v>2500000</v>
      </c>
    </row>
    <row r="28" spans="3:7" hidden="1" x14ac:dyDescent="0.35">
      <c r="C28" s="477">
        <f t="shared" si="0"/>
        <v>5</v>
      </c>
      <c r="D28" s="507"/>
      <c r="E28" s="812">
        <f t="shared" si="1"/>
        <v>1300000</v>
      </c>
      <c r="F28" s="813"/>
      <c r="G28" s="483">
        <f t="shared" si="2"/>
        <v>2500000</v>
      </c>
    </row>
    <row r="29" spans="3:7" hidden="1" x14ac:dyDescent="0.35">
      <c r="C29" s="477">
        <f t="shared" si="0"/>
        <v>6</v>
      </c>
      <c r="D29" s="507"/>
      <c r="E29" s="812">
        <f t="shared" si="1"/>
        <v>1200000</v>
      </c>
      <c r="F29" s="813"/>
      <c r="G29" s="483">
        <f t="shared" si="2"/>
        <v>2500000</v>
      </c>
    </row>
    <row r="30" spans="3:7" hidden="1" x14ac:dyDescent="0.35">
      <c r="C30" s="477">
        <f t="shared" si="0"/>
        <v>7</v>
      </c>
      <c r="D30" s="507"/>
      <c r="E30" s="812">
        <f t="shared" si="1"/>
        <v>1100000</v>
      </c>
      <c r="F30" s="813"/>
      <c r="G30" s="483">
        <f t="shared" si="2"/>
        <v>2500000</v>
      </c>
    </row>
    <row r="31" spans="3:7" hidden="1" x14ac:dyDescent="0.35">
      <c r="C31" s="477">
        <f t="shared" si="0"/>
        <v>8</v>
      </c>
      <c r="D31" s="507"/>
      <c r="E31" s="812">
        <f t="shared" si="1"/>
        <v>1000000</v>
      </c>
      <c r="F31" s="813"/>
      <c r="G31" s="483">
        <f t="shared" si="2"/>
        <v>2500000</v>
      </c>
    </row>
    <row r="32" spans="3:7" hidden="1" x14ac:dyDescent="0.35">
      <c r="C32" s="477">
        <f t="shared" si="0"/>
        <v>9</v>
      </c>
      <c r="D32" s="507"/>
      <c r="E32" s="812">
        <f t="shared" si="1"/>
        <v>900000</v>
      </c>
      <c r="F32" s="813"/>
      <c r="G32" s="483">
        <f t="shared" si="2"/>
        <v>2500000</v>
      </c>
    </row>
    <row r="33" spans="3:7" hidden="1" x14ac:dyDescent="0.35">
      <c r="C33" s="477">
        <f t="shared" si="0"/>
        <v>10</v>
      </c>
      <c r="D33" s="507"/>
      <c r="E33" s="812"/>
      <c r="F33" s="813"/>
      <c r="G33" s="483">
        <f t="shared" si="2"/>
        <v>2500000</v>
      </c>
    </row>
    <row r="34" spans="3:7" hidden="1" x14ac:dyDescent="0.35">
      <c r="C34" s="477" t="s">
        <v>600</v>
      </c>
      <c r="D34" s="507"/>
      <c r="E34" s="812">
        <v>0</v>
      </c>
      <c r="F34" s="813"/>
      <c r="G34" s="483">
        <v>1</v>
      </c>
    </row>
    <row r="35" spans="3:7" ht="16" hidden="1" thickBot="1" x14ac:dyDescent="0.4">
      <c r="C35" s="478" t="s">
        <v>579</v>
      </c>
      <c r="D35" s="508"/>
      <c r="E35" s="826">
        <f>SUM(E24:E33)</f>
        <v>11700000</v>
      </c>
      <c r="F35" s="827"/>
      <c r="G35" s="498">
        <f>SUM(G24:G33)+1*25</f>
        <v>25000025</v>
      </c>
    </row>
    <row r="36" spans="3:7" s="327" customFormat="1" x14ac:dyDescent="0.35">
      <c r="D36" s="479"/>
      <c r="E36" s="479"/>
      <c r="F36" s="479"/>
    </row>
    <row r="37" spans="3:7" ht="16" thickBot="1" x14ac:dyDescent="0.4"/>
    <row r="38" spans="3:7" x14ac:dyDescent="0.35">
      <c r="C38" s="806" t="s">
        <v>610</v>
      </c>
      <c r="D38" s="807"/>
      <c r="E38" s="807"/>
      <c r="F38" s="807"/>
      <c r="G38" s="808"/>
    </row>
    <row r="39" spans="3:7" x14ac:dyDescent="0.35">
      <c r="C39" s="472" t="s">
        <v>570</v>
      </c>
      <c r="D39" s="816" t="s">
        <v>580</v>
      </c>
      <c r="E39" s="817"/>
      <c r="F39" s="473" t="s">
        <v>581</v>
      </c>
      <c r="G39" s="474" t="s">
        <v>582</v>
      </c>
    </row>
    <row r="40" spans="3:7" x14ac:dyDescent="0.35">
      <c r="C40" s="472" t="s">
        <v>583</v>
      </c>
      <c r="D40" s="490" t="s">
        <v>584</v>
      </c>
      <c r="E40" s="491" t="s">
        <v>585</v>
      </c>
      <c r="F40" s="473" t="s">
        <v>586</v>
      </c>
      <c r="G40" s="474" t="s">
        <v>587</v>
      </c>
    </row>
    <row r="41" spans="3:7" x14ac:dyDescent="0.35">
      <c r="C41" s="472" t="s">
        <v>588</v>
      </c>
      <c r="D41" s="510">
        <v>120</v>
      </c>
      <c r="E41" s="513">
        <v>80</v>
      </c>
      <c r="F41" s="466">
        <v>300</v>
      </c>
      <c r="G41" s="499">
        <f>ROUND(903*0.3,0)</f>
        <v>271</v>
      </c>
    </row>
    <row r="42" spans="3:7" x14ac:dyDescent="0.35">
      <c r="C42" s="472" t="s">
        <v>608</v>
      </c>
      <c r="D42" s="533">
        <v>165</v>
      </c>
      <c r="E42" s="534">
        <v>165</v>
      </c>
      <c r="F42" s="532">
        <v>195</v>
      </c>
      <c r="G42" s="535">
        <v>60</v>
      </c>
    </row>
    <row r="43" spans="3:7" x14ac:dyDescent="0.35">
      <c r="C43" s="472" t="s">
        <v>589</v>
      </c>
      <c r="D43" s="490" t="s">
        <v>590</v>
      </c>
      <c r="E43" s="491" t="s">
        <v>590</v>
      </c>
      <c r="F43" s="473" t="s">
        <v>590</v>
      </c>
      <c r="G43" s="474" t="s">
        <v>28</v>
      </c>
    </row>
    <row r="44" spans="3:7" x14ac:dyDescent="0.35">
      <c r="C44" s="472" t="s">
        <v>607</v>
      </c>
      <c r="D44" s="511">
        <v>0.85</v>
      </c>
      <c r="E44" s="514">
        <f>$D44</f>
        <v>0.85</v>
      </c>
      <c r="F44" s="480">
        <f t="shared" ref="F44:G46" si="3">$D44</f>
        <v>0.85</v>
      </c>
      <c r="G44" s="481">
        <f t="shared" si="3"/>
        <v>0.85</v>
      </c>
    </row>
    <row r="45" spans="3:7" x14ac:dyDescent="0.35">
      <c r="C45" s="472" t="s">
        <v>591</v>
      </c>
      <c r="D45" s="511">
        <v>0.3</v>
      </c>
      <c r="E45" s="514">
        <f t="shared" ref="E45:E46" si="4">$D45</f>
        <v>0.3</v>
      </c>
      <c r="F45" s="480">
        <f t="shared" si="3"/>
        <v>0.3</v>
      </c>
      <c r="G45" s="481">
        <f t="shared" si="3"/>
        <v>0.3</v>
      </c>
    </row>
    <row r="46" spans="3:7" x14ac:dyDescent="0.35">
      <c r="C46" s="472" t="s">
        <v>592</v>
      </c>
      <c r="D46" s="511">
        <v>0.55000000000000004</v>
      </c>
      <c r="E46" s="514">
        <f t="shared" si="4"/>
        <v>0.55000000000000004</v>
      </c>
      <c r="F46" s="480">
        <f t="shared" si="3"/>
        <v>0.55000000000000004</v>
      </c>
      <c r="G46" s="481">
        <f t="shared" si="3"/>
        <v>0.55000000000000004</v>
      </c>
    </row>
    <row r="47" spans="3:7" x14ac:dyDescent="0.35">
      <c r="C47" s="472" t="s">
        <v>593</v>
      </c>
      <c r="D47" s="492">
        <f>D41*D42*D44*(1-D45)*D46*12</f>
        <v>77754.600000000006</v>
      </c>
      <c r="E47" s="493">
        <f t="shared" ref="E47:G47" si="5">E41*E42*E44*(1-E45)*E46*12</f>
        <v>51836.399999999994</v>
      </c>
      <c r="F47" s="482">
        <f t="shared" si="5"/>
        <v>229729.5</v>
      </c>
      <c r="G47" s="483">
        <f t="shared" si="5"/>
        <v>63853.020000000004</v>
      </c>
    </row>
    <row r="48" spans="3:7" x14ac:dyDescent="0.35">
      <c r="C48" s="472" t="s">
        <v>594</v>
      </c>
      <c r="D48" s="537">
        <v>7.0000000000000007E-2</v>
      </c>
      <c r="E48" s="515">
        <f>+$D$48</f>
        <v>7.0000000000000007E-2</v>
      </c>
      <c r="F48" s="502">
        <f>+$D$48</f>
        <v>7.0000000000000007E-2</v>
      </c>
      <c r="G48" s="503">
        <f>+$D$48</f>
        <v>7.0000000000000007E-2</v>
      </c>
    </row>
    <row r="49" spans="3:8" ht="16" thickBot="1" x14ac:dyDescent="0.4">
      <c r="C49" s="484" t="s">
        <v>578</v>
      </c>
      <c r="D49" s="512">
        <f>D47/D48</f>
        <v>1110780</v>
      </c>
      <c r="E49" s="516">
        <f t="shared" ref="E49:G49" si="6">E47/E48</f>
        <v>740519.99999999988</v>
      </c>
      <c r="F49" s="500">
        <f t="shared" si="6"/>
        <v>3281849.9999999995</v>
      </c>
      <c r="G49" s="501">
        <f t="shared" si="6"/>
        <v>912186</v>
      </c>
      <c r="H49" s="426"/>
    </row>
    <row r="50" spans="3:8" x14ac:dyDescent="0.35">
      <c r="D50" s="433"/>
      <c r="E50" s="433"/>
      <c r="F50" s="433"/>
      <c r="G50" s="433"/>
    </row>
    <row r="51" spans="3:8" ht="16" thickBot="1" x14ac:dyDescent="0.4"/>
    <row r="52" spans="3:8" x14ac:dyDescent="0.35">
      <c r="C52" s="806" t="s">
        <v>611</v>
      </c>
      <c r="D52" s="807"/>
      <c r="E52" s="807"/>
      <c r="F52" s="807"/>
      <c r="G52" s="808"/>
    </row>
    <row r="53" spans="3:8" x14ac:dyDescent="0.35">
      <c r="C53" s="472" t="s">
        <v>570</v>
      </c>
      <c r="D53" s="473" t="s">
        <v>595</v>
      </c>
      <c r="E53" s="473" t="s">
        <v>580</v>
      </c>
      <c r="F53" s="327"/>
      <c r="G53" s="434"/>
    </row>
    <row r="54" spans="3:8" x14ac:dyDescent="0.35">
      <c r="C54" s="472" t="s">
        <v>583</v>
      </c>
      <c r="D54" s="473" t="s">
        <v>596</v>
      </c>
      <c r="E54" s="473" t="s">
        <v>597</v>
      </c>
      <c r="F54" s="327"/>
      <c r="G54" s="434"/>
    </row>
    <row r="55" spans="3:8" x14ac:dyDescent="0.35">
      <c r="C55" s="472" t="s">
        <v>598</v>
      </c>
      <c r="D55" s="473" t="s">
        <v>599</v>
      </c>
      <c r="E55" s="473" t="s">
        <v>599</v>
      </c>
      <c r="F55" s="327"/>
      <c r="G55" s="434"/>
    </row>
    <row r="56" spans="3:8" x14ac:dyDescent="0.35">
      <c r="C56" s="472" t="s">
        <v>609</v>
      </c>
      <c r="D56" s="467">
        <v>90127</v>
      </c>
      <c r="E56" s="467">
        <v>100977</v>
      </c>
      <c r="F56" s="327"/>
      <c r="G56" s="434"/>
    </row>
    <row r="57" spans="3:8" x14ac:dyDescent="0.35">
      <c r="C57" s="472" t="s">
        <v>37</v>
      </c>
      <c r="D57" s="532">
        <v>50</v>
      </c>
      <c r="E57" s="532">
        <v>50</v>
      </c>
      <c r="F57" s="327"/>
      <c r="G57" s="434"/>
    </row>
    <row r="58" spans="3:8" ht="16" thickBot="1" x14ac:dyDescent="0.4">
      <c r="C58" s="484" t="s">
        <v>578</v>
      </c>
      <c r="D58" s="500">
        <f>D56*D57</f>
        <v>4506350</v>
      </c>
      <c r="E58" s="500">
        <f>+E56*E57</f>
        <v>5048850</v>
      </c>
      <c r="F58" s="485"/>
      <c r="G58" s="486"/>
    </row>
    <row r="59" spans="3:8" x14ac:dyDescent="0.35">
      <c r="D59" s="433"/>
      <c r="E59" s="550"/>
    </row>
  </sheetData>
  <mergeCells count="22">
    <mergeCell ref="C38:G38"/>
    <mergeCell ref="D39:E39"/>
    <mergeCell ref="C52:G52"/>
    <mergeCell ref="E18:F18"/>
    <mergeCell ref="E19:F19"/>
    <mergeCell ref="E20:F20"/>
    <mergeCell ref="E21:F21"/>
    <mergeCell ref="E24:F24"/>
    <mergeCell ref="E35:F35"/>
    <mergeCell ref="E29:F29"/>
    <mergeCell ref="E30:F30"/>
    <mergeCell ref="C2:E2"/>
    <mergeCell ref="E31:F31"/>
    <mergeCell ref="E32:F32"/>
    <mergeCell ref="E33:F33"/>
    <mergeCell ref="E34:F34"/>
    <mergeCell ref="C14:G14"/>
    <mergeCell ref="E25:F25"/>
    <mergeCell ref="E26:F26"/>
    <mergeCell ref="E27:F27"/>
    <mergeCell ref="E28:F28"/>
    <mergeCell ref="E15:F1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2:AU48"/>
  <sheetViews>
    <sheetView showGridLines="0" zoomScale="44" zoomScaleNormal="55" workbookViewId="0">
      <selection activeCell="A9" sqref="A9"/>
    </sheetView>
  </sheetViews>
  <sheetFormatPr defaultColWidth="14.453125" defaultRowHeight="16" customHeight="1" x14ac:dyDescent="0.35"/>
  <cols>
    <col min="1" max="1" width="8.453125" style="41" customWidth="1"/>
    <col min="2" max="2" width="16.453125" style="41" bestFit="1" customWidth="1"/>
    <col min="3" max="3" width="16.453125" style="41" customWidth="1"/>
    <col min="4" max="4" width="15.453125" style="41" bestFit="1" customWidth="1"/>
    <col min="5" max="7" width="16.453125" style="41" customWidth="1"/>
    <col min="8" max="8" width="15.453125" style="41" bestFit="1" customWidth="1"/>
    <col min="9" max="10" width="14.453125" style="41" customWidth="1"/>
    <col min="11" max="11" width="16" style="41" bestFit="1" customWidth="1"/>
    <col min="12" max="21" width="14.453125" style="41" customWidth="1"/>
    <col min="22" max="22" width="15.81640625" style="41" customWidth="1"/>
    <col min="23" max="23" width="14.453125" style="41" customWidth="1"/>
    <col min="24" max="36" width="14.453125" style="41"/>
    <col min="37" max="37" width="16" style="41" customWidth="1"/>
    <col min="38" max="16384" width="14.453125" style="41"/>
  </cols>
  <sheetData>
    <row r="2" spans="1:47" ht="16" customHeight="1" x14ac:dyDescent="0.35">
      <c r="B2" s="41" t="s">
        <v>7</v>
      </c>
      <c r="D2" s="44">
        <v>0.02</v>
      </c>
      <c r="E2" s="44"/>
      <c r="F2" s="41" t="s">
        <v>186</v>
      </c>
      <c r="H2" s="112">
        <v>96.515600000000006</v>
      </c>
    </row>
    <row r="3" spans="1:47" ht="16" customHeight="1" x14ac:dyDescent="0.35">
      <c r="B3" s="41" t="s">
        <v>193</v>
      </c>
      <c r="D3" s="109">
        <v>3</v>
      </c>
      <c r="E3" s="109"/>
      <c r="F3" s="41" t="s">
        <v>194</v>
      </c>
      <c r="H3" s="44">
        <v>0.35</v>
      </c>
    </row>
    <row r="4" spans="1:47" ht="16" customHeight="1" x14ac:dyDescent="0.35">
      <c r="B4" s="41" t="s">
        <v>199</v>
      </c>
      <c r="D4" s="114">
        <f>+Assumptions!$N$167</f>
        <v>1.25</v>
      </c>
      <c r="E4" s="114"/>
      <c r="F4" s="41" t="s">
        <v>197</v>
      </c>
      <c r="H4" s="44">
        <v>0.25</v>
      </c>
    </row>
    <row r="5" spans="1:47" ht="16" customHeight="1" x14ac:dyDescent="0.35">
      <c r="B5" s="41" t="s">
        <v>165</v>
      </c>
      <c r="D5" s="113">
        <f>+Assumptions!$N$169</f>
        <v>30</v>
      </c>
      <c r="E5" s="113"/>
      <c r="F5" s="41" t="s">
        <v>371</v>
      </c>
      <c r="H5" s="170">
        <v>9.5000000000000001E-2</v>
      </c>
    </row>
    <row r="6" spans="1:47" ht="16" customHeight="1" x14ac:dyDescent="0.35">
      <c r="B6" s="41" t="s">
        <v>158</v>
      </c>
      <c r="D6" s="115">
        <f>+Assumptions!$N$168</f>
        <v>0.06</v>
      </c>
      <c r="E6" s="115"/>
      <c r="F6" s="205" t="s">
        <v>372</v>
      </c>
      <c r="G6" s="205"/>
      <c r="H6" s="205"/>
    </row>
    <row r="8" spans="1:47" ht="16" customHeight="1" x14ac:dyDescent="0.35">
      <c r="B8" s="31" t="s">
        <v>205</v>
      </c>
      <c r="C8" s="31"/>
      <c r="D8" s="32"/>
      <c r="E8" s="32"/>
      <c r="F8" s="38"/>
      <c r="G8" s="38"/>
      <c r="H8" s="32"/>
      <c r="I8" s="31"/>
      <c r="J8" s="46"/>
      <c r="K8" s="46"/>
      <c r="L8" s="46"/>
      <c r="M8" s="46"/>
      <c r="N8" s="46"/>
      <c r="O8" s="46"/>
      <c r="P8" s="46"/>
      <c r="R8" s="31" t="s">
        <v>243</v>
      </c>
      <c r="S8" s="31"/>
      <c r="T8" s="32"/>
      <c r="U8" s="32"/>
      <c r="V8" s="38"/>
      <c r="W8" s="38"/>
      <c r="X8" s="32"/>
      <c r="Y8" s="31"/>
      <c r="Z8" s="46"/>
      <c r="AA8" s="46"/>
      <c r="AB8" s="46"/>
      <c r="AC8" s="46"/>
      <c r="AD8" s="46"/>
      <c r="AE8" s="46"/>
      <c r="AG8" s="31" t="s">
        <v>244</v>
      </c>
      <c r="AH8" s="31"/>
      <c r="AI8" s="32"/>
      <c r="AJ8" s="32"/>
      <c r="AK8" s="38"/>
      <c r="AL8" s="38"/>
      <c r="AM8" s="32"/>
      <c r="AN8" s="31"/>
      <c r="AO8" s="46"/>
      <c r="AP8" s="46"/>
      <c r="AQ8" s="46"/>
      <c r="AR8" s="46"/>
      <c r="AS8" s="46"/>
      <c r="AT8" s="46"/>
    </row>
    <row r="9" spans="1:47" ht="16" customHeight="1" x14ac:dyDescent="0.35">
      <c r="B9" s="119" t="s">
        <v>206</v>
      </c>
      <c r="C9" s="125">
        <f>+INDEX(Assumptions!$F$24:$H$24,1,MATCH('Taxes and TIF'!B8,Assumptions!$F$21:$H$21,0))</f>
        <v>44561</v>
      </c>
      <c r="F9" s="119" t="s">
        <v>204</v>
      </c>
      <c r="H9" s="125">
        <f>+INDEX(Assumptions!$F$26:$H$26,1,MATCH('Taxes and TIF'!B8,Assumptions!$F$21:$H$21,0))</f>
        <v>45291</v>
      </c>
      <c r="J9" s="119" t="s">
        <v>191</v>
      </c>
      <c r="K9" s="34">
        <f ca="1">+SUM('Loan Sizing'!$F$15:$F$20,'Loan Sizing'!$F$36,'Loan Sizing'!$F$52)/'Taxes and TIF'!$H$5</f>
        <v>272823403.18685645</v>
      </c>
      <c r="L9" s="34"/>
      <c r="M9" s="34"/>
      <c r="R9" s="119" t="s">
        <v>206</v>
      </c>
      <c r="S9" s="125">
        <f>+INDEX(Assumptions!$F$24:$H$24,1,MATCH('Taxes and TIF'!R8,Assumptions!$F$21:$H$21,0))</f>
        <v>45291</v>
      </c>
      <c r="V9" s="119" t="s">
        <v>204</v>
      </c>
      <c r="X9" s="125">
        <f>+INDEX(Assumptions!$F$26:$H$26,1,MATCH('Taxes and TIF'!R8,Assumptions!$F$21:$H$21,0))</f>
        <v>46022</v>
      </c>
      <c r="Z9" s="119" t="s">
        <v>191</v>
      </c>
      <c r="AA9" s="34">
        <f ca="1">+SUM('Loan Sizing'!$G$15:$G$20,'Loan Sizing'!$G$36,'Loan Sizing'!$G$52)/'Taxes and TIF'!$H$5</f>
        <v>157043233.41040516</v>
      </c>
      <c r="AB9" s="34"/>
      <c r="AC9" s="34"/>
      <c r="AG9" s="119" t="s">
        <v>206</v>
      </c>
      <c r="AH9" s="125">
        <f>+INDEX(Assumptions!$F$24:$H$24,1,MATCH('Taxes and TIF'!AG8,Assumptions!$F$21:$H$21,0))</f>
        <v>46022</v>
      </c>
      <c r="AK9" s="119" t="s">
        <v>204</v>
      </c>
      <c r="AM9" s="125">
        <f>+INDEX(Assumptions!$F$26:$H$26,1,MATCH('Taxes and TIF'!AG8,Assumptions!$F$21:$H$21,0))</f>
        <v>46752</v>
      </c>
      <c r="AO9" s="119" t="s">
        <v>191</v>
      </c>
      <c r="AP9" s="34">
        <f ca="1">+SUM('Loan Sizing'!$H$15:$H$20,'Loan Sizing'!$I$36,'Loan Sizing'!$I$52)/'Taxes and TIF'!$H$5</f>
        <v>239503950.29747936</v>
      </c>
      <c r="AQ9" s="34"/>
      <c r="AR9" s="34"/>
    </row>
    <row r="10" spans="1:47" ht="42.75" customHeight="1" thickBot="1" x14ac:dyDescent="0.4">
      <c r="B10" s="111" t="s">
        <v>190</v>
      </c>
      <c r="C10" s="111" t="s">
        <v>202</v>
      </c>
      <c r="D10" s="111" t="s">
        <v>192</v>
      </c>
      <c r="E10" s="111" t="s">
        <v>7</v>
      </c>
      <c r="F10" s="111" t="s">
        <v>191</v>
      </c>
      <c r="G10" s="111" t="s">
        <v>194</v>
      </c>
      <c r="H10" s="111" t="s">
        <v>195</v>
      </c>
      <c r="I10" s="111" t="s">
        <v>186</v>
      </c>
      <c r="J10" s="111" t="s">
        <v>196</v>
      </c>
      <c r="K10" s="111" t="s">
        <v>197</v>
      </c>
      <c r="L10" s="111" t="s">
        <v>325</v>
      </c>
      <c r="M10" s="111" t="s">
        <v>324</v>
      </c>
      <c r="N10" s="111" t="s">
        <v>198</v>
      </c>
      <c r="O10" s="111" t="s">
        <v>323</v>
      </c>
      <c r="P10" s="164"/>
      <c r="R10" s="111" t="s">
        <v>190</v>
      </c>
      <c r="S10" s="111" t="s">
        <v>202</v>
      </c>
      <c r="T10" s="111" t="s">
        <v>192</v>
      </c>
      <c r="U10" s="111" t="s">
        <v>7</v>
      </c>
      <c r="V10" s="111" t="s">
        <v>191</v>
      </c>
      <c r="W10" s="111" t="s">
        <v>194</v>
      </c>
      <c r="X10" s="111" t="s">
        <v>195</v>
      </c>
      <c r="Y10" s="111" t="s">
        <v>186</v>
      </c>
      <c r="Z10" s="111" t="s">
        <v>196</v>
      </c>
      <c r="AA10" s="111" t="s">
        <v>197</v>
      </c>
      <c r="AB10" s="111" t="s">
        <v>325</v>
      </c>
      <c r="AC10" s="111" t="s">
        <v>324</v>
      </c>
      <c r="AD10" s="111" t="s">
        <v>198</v>
      </c>
      <c r="AE10" s="111" t="s">
        <v>200</v>
      </c>
      <c r="AG10" s="111" t="s">
        <v>190</v>
      </c>
      <c r="AH10" s="111" t="s">
        <v>202</v>
      </c>
      <c r="AI10" s="111" t="s">
        <v>192</v>
      </c>
      <c r="AJ10" s="111" t="s">
        <v>7</v>
      </c>
      <c r="AK10" s="111" t="s">
        <v>191</v>
      </c>
      <c r="AL10" s="111" t="s">
        <v>194</v>
      </c>
      <c r="AM10" s="111" t="s">
        <v>195</v>
      </c>
      <c r="AN10" s="111" t="s">
        <v>186</v>
      </c>
      <c r="AO10" s="111" t="s">
        <v>196</v>
      </c>
      <c r="AP10" s="111" t="s">
        <v>197</v>
      </c>
      <c r="AQ10" s="111" t="s">
        <v>325</v>
      </c>
      <c r="AR10" s="111" t="s">
        <v>324</v>
      </c>
      <c r="AS10" s="111" t="s">
        <v>198</v>
      </c>
      <c r="AT10" s="111" t="s">
        <v>200</v>
      </c>
    </row>
    <row r="11" spans="1:47" ht="16" customHeight="1" x14ac:dyDescent="0.35">
      <c r="A11" s="110">
        <v>0</v>
      </c>
      <c r="B11" s="124">
        <f>+C9</f>
        <v>44561</v>
      </c>
      <c r="C11" s="117">
        <v>0</v>
      </c>
      <c r="D11" s="198">
        <f>+INDEX(Budget!$H$23:$J$23,1,MATCH('Taxes and TIF'!B8,Budget!$H$22:$J$22,0))</f>
        <v>6900151</v>
      </c>
      <c r="E11" s="107">
        <v>1</v>
      </c>
      <c r="F11" s="34">
        <f t="shared" ref="F11:F45" si="0">+IF(B11&gt;=H$9,K$9,0)*E11</f>
        <v>0</v>
      </c>
      <c r="G11" s="108">
        <f>+$H$3</f>
        <v>0.35</v>
      </c>
      <c r="H11" s="34">
        <f t="shared" ref="H11:H45" si="1">+F11*G11</f>
        <v>0</v>
      </c>
      <c r="I11" s="49">
        <f>+$H$2</f>
        <v>96.515600000000006</v>
      </c>
      <c r="J11" s="34">
        <f>+MAX(I11*H11/1000-L11,0)</f>
        <v>0</v>
      </c>
      <c r="K11" s="108">
        <f>+$H$4</f>
        <v>0.25</v>
      </c>
      <c r="L11" s="34">
        <f t="shared" ref="L11:L45" si="2">+D11*G11*I11/1000</f>
        <v>233090.27484945997</v>
      </c>
      <c r="M11" s="34">
        <f>+L11+J11</f>
        <v>233090.27484945997</v>
      </c>
      <c r="N11" s="34">
        <f t="shared" ref="N11:N12" si="3">+J11*(1-K11)</f>
        <v>0</v>
      </c>
      <c r="O11" s="34">
        <f t="shared" ref="O11:O12" si="4">+N11/$D$4</f>
        <v>0</v>
      </c>
      <c r="P11" s="406" t="str">
        <f>+IF(O11=0,"",O11)</f>
        <v/>
      </c>
      <c r="R11" s="124">
        <f>+S9</f>
        <v>45291</v>
      </c>
      <c r="S11" s="117">
        <v>0</v>
      </c>
      <c r="T11" s="198">
        <f>+INDEX(Budget!$H$23:$J$23,1,MATCH('Taxes and TIF'!R8,Budget!$H$22:$J$22,0))</f>
        <v>818973.10714285716</v>
      </c>
      <c r="U11" s="107">
        <v>1</v>
      </c>
      <c r="V11" s="34">
        <f>+IF(R11&gt;=X$9,AA$9,0)*U11</f>
        <v>0</v>
      </c>
      <c r="W11" s="108">
        <f>+$H$3</f>
        <v>0.35</v>
      </c>
      <c r="X11" s="34">
        <f>+V11*W11</f>
        <v>0</v>
      </c>
      <c r="Y11" s="49">
        <f>+$H$2</f>
        <v>96.515600000000006</v>
      </c>
      <c r="Z11" s="34">
        <f>+MAX(Y11*X11/1000-AB11,0)</f>
        <v>0</v>
      </c>
      <c r="AA11" s="108">
        <f>+$H$4</f>
        <v>0.25</v>
      </c>
      <c r="AB11" s="34">
        <f>+T11*W11*Y11/1000</f>
        <v>27665.288286914998</v>
      </c>
      <c r="AC11" s="34">
        <f>+AB11+Z11</f>
        <v>27665.288286914998</v>
      </c>
      <c r="AD11" s="34">
        <f>+Z11*(1-AA11)</f>
        <v>0</v>
      </c>
      <c r="AE11" s="34">
        <f t="shared" ref="AE11:AE12" si="5">+AD11/$D$4</f>
        <v>0</v>
      </c>
      <c r="AF11" s="406" t="str">
        <f>+IF(AE11=0,"",AE11)</f>
        <v/>
      </c>
      <c r="AG11" s="124">
        <f>+AH9</f>
        <v>46022</v>
      </c>
      <c r="AH11" s="117">
        <v>0</v>
      </c>
      <c r="AI11" s="198">
        <f>+INDEX(Budget!$H$23:$J$23,1,MATCH('Taxes and TIF'!AG8,Budget!$H$22:$J$22,0))</f>
        <v>9121587</v>
      </c>
      <c r="AJ11" s="107">
        <v>1</v>
      </c>
      <c r="AK11" s="34">
        <f>+IF(AG11&gt;=AM$9,AP$9,0)*AJ11</f>
        <v>0</v>
      </c>
      <c r="AL11" s="108">
        <f>+$H$3</f>
        <v>0.35</v>
      </c>
      <c r="AM11" s="34">
        <f>+AK11*AL11</f>
        <v>0</v>
      </c>
      <c r="AN11" s="49">
        <f>+$H$2</f>
        <v>96.515600000000006</v>
      </c>
      <c r="AO11" s="34">
        <f>+MAX(AN11*AM11/1000-AQ11,0)</f>
        <v>0</v>
      </c>
      <c r="AP11" s="108">
        <f>+$H$4</f>
        <v>0.25</v>
      </c>
      <c r="AQ11" s="34">
        <f>+AI11*AL11*AN11/1000</f>
        <v>308131.40479001997</v>
      </c>
      <c r="AR11" s="34">
        <f>+AQ11+AO11</f>
        <v>308131.40479001997</v>
      </c>
      <c r="AS11" s="34">
        <f>+AO11*(1-AP11)</f>
        <v>0</v>
      </c>
      <c r="AT11" s="34">
        <f t="shared" ref="AT11:AT12" si="6">+AS11/$D$4</f>
        <v>0</v>
      </c>
      <c r="AU11" s="406" t="str">
        <f>+IF(AT11=0,"",AT11)</f>
        <v/>
      </c>
    </row>
    <row r="12" spans="1:47" ht="16" customHeight="1" x14ac:dyDescent="0.35">
      <c r="A12" s="110">
        <f t="shared" ref="A12:A17" si="7">+MOD(A11+1,$D$3)</f>
        <v>1</v>
      </c>
      <c r="B12" s="124">
        <f>+EOMONTH(B11,12)</f>
        <v>44926</v>
      </c>
      <c r="C12" s="117">
        <f>+IF(B12&gt;=H$9,'Taxes and TIF'!C11+1,'Taxes and TIF'!C11)</f>
        <v>0</v>
      </c>
      <c r="D12" s="42">
        <f>+$D$11*E12</f>
        <v>6900151</v>
      </c>
      <c r="E12" s="116">
        <f>+E11*(1+IF($A12=0,$D$2,0))</f>
        <v>1</v>
      </c>
      <c r="F12" s="42">
        <f t="shared" si="0"/>
        <v>0</v>
      </c>
      <c r="G12" s="108">
        <f>+G11</f>
        <v>0.35</v>
      </c>
      <c r="H12" s="42">
        <f t="shared" si="1"/>
        <v>0</v>
      </c>
      <c r="I12" s="49">
        <f>+I11</f>
        <v>96.515600000000006</v>
      </c>
      <c r="J12" s="42">
        <f>+MAX(I12*H12/1000-L12,0)</f>
        <v>0</v>
      </c>
      <c r="K12" s="108">
        <f>+K11</f>
        <v>0.25</v>
      </c>
      <c r="L12" s="42">
        <f t="shared" si="2"/>
        <v>233090.27484945997</v>
      </c>
      <c r="M12" s="42">
        <f t="shared" ref="M12" si="8">+L12+J12</f>
        <v>233090.27484945997</v>
      </c>
      <c r="N12" s="42">
        <f t="shared" si="3"/>
        <v>0</v>
      </c>
      <c r="O12" s="42">
        <f t="shared" si="4"/>
        <v>0</v>
      </c>
      <c r="P12" s="406" t="str">
        <f t="shared" ref="P12:P45" si="9">+IF(O12=0,"",O12)</f>
        <v/>
      </c>
      <c r="R12" s="124">
        <f>+EOMONTH(R11,12)</f>
        <v>45657</v>
      </c>
      <c r="S12" s="117">
        <f>+IF(R12&gt;=X$9,'Taxes and TIF'!S11+1,'Taxes and TIF'!S11)</f>
        <v>0</v>
      </c>
      <c r="T12" s="42">
        <f>+T11</f>
        <v>818973.10714285716</v>
      </c>
      <c r="U12" s="116">
        <f>+U11*(1+IF($A12=0,$D$2,0))</f>
        <v>1</v>
      </c>
      <c r="V12" s="42">
        <f t="shared" ref="V12" si="10">+IF(R12&gt;=X$9,AA$9,0)*U12</f>
        <v>0</v>
      </c>
      <c r="W12" s="108">
        <f>+W11</f>
        <v>0.35</v>
      </c>
      <c r="X12" s="42">
        <f t="shared" ref="X12" si="11">+V12*W12</f>
        <v>0</v>
      </c>
      <c r="Y12" s="49">
        <f>+Y11</f>
        <v>96.515600000000006</v>
      </c>
      <c r="Z12" s="42">
        <f t="shared" ref="Z12" si="12">+MAX(Y12*X12/1000-AB12,0)</f>
        <v>0</v>
      </c>
      <c r="AA12" s="108">
        <f>+AA11</f>
        <v>0.25</v>
      </c>
      <c r="AB12" s="42">
        <f t="shared" ref="AB12" si="13">+T12*W12*Y12/1000</f>
        <v>27665.288286914998</v>
      </c>
      <c r="AC12" s="42">
        <f t="shared" ref="AC12" si="14">+AB12+Z12</f>
        <v>27665.288286914998</v>
      </c>
      <c r="AD12" s="42">
        <f t="shared" ref="AD12" si="15">+Z12*(1-AA12)</f>
        <v>0</v>
      </c>
      <c r="AE12" s="42">
        <f t="shared" si="5"/>
        <v>0</v>
      </c>
      <c r="AF12" s="406" t="str">
        <f t="shared" ref="AF12:AF45" si="16">+IF(AE12=0,"",AE12)</f>
        <v/>
      </c>
      <c r="AG12" s="124">
        <f>+EOMONTH(AG11,12)</f>
        <v>46387</v>
      </c>
      <c r="AH12" s="117">
        <f>+IF(AG12&gt;=AM$9,'Taxes and TIF'!AH11+1,'Taxes and TIF'!AH11)</f>
        <v>0</v>
      </c>
      <c r="AI12" s="42">
        <f>+AI11</f>
        <v>9121587</v>
      </c>
      <c r="AJ12" s="116">
        <f>+AJ11*(1+IF($A12=0,$D$2,0))</f>
        <v>1</v>
      </c>
      <c r="AK12" s="42">
        <f t="shared" ref="AK12" si="17">+IF(AG12&gt;=AM$9,AP$9,0)*AJ12</f>
        <v>0</v>
      </c>
      <c r="AL12" s="108">
        <f>+AL11</f>
        <v>0.35</v>
      </c>
      <c r="AM12" s="42">
        <f t="shared" ref="AM12" si="18">+AK12*AL12</f>
        <v>0</v>
      </c>
      <c r="AN12" s="49">
        <f>+AN11</f>
        <v>96.515600000000006</v>
      </c>
      <c r="AO12" s="42">
        <f t="shared" ref="AO12" si="19">+MAX(AN12*AM12/1000-AQ12,0)</f>
        <v>0</v>
      </c>
      <c r="AP12" s="108">
        <f>+AP11</f>
        <v>0.25</v>
      </c>
      <c r="AQ12" s="42">
        <f t="shared" ref="AQ12" si="20">+AI12*AL12*AN12/1000</f>
        <v>308131.40479001997</v>
      </c>
      <c r="AR12" s="42">
        <f t="shared" ref="AR12" si="21">+AQ12+AO12</f>
        <v>308131.40479001997</v>
      </c>
      <c r="AS12" s="42">
        <f t="shared" ref="AS12" si="22">+AO12*(1-AP12)</f>
        <v>0</v>
      </c>
      <c r="AT12" s="42">
        <f t="shared" si="6"/>
        <v>0</v>
      </c>
      <c r="AU12" s="406" t="str">
        <f t="shared" ref="AU12:AU45" si="23">+IF(AT12=0,"",AT12)</f>
        <v/>
      </c>
    </row>
    <row r="13" spans="1:47" ht="16" customHeight="1" x14ac:dyDescent="0.35">
      <c r="A13" s="110">
        <f t="shared" si="7"/>
        <v>2</v>
      </c>
      <c r="B13" s="124">
        <f t="shared" ref="B13:B22" si="24">+EOMONTH(B12,12)</f>
        <v>45291</v>
      </c>
      <c r="C13" s="117">
        <f>+IF(B13&gt;=H$9,'Taxes and TIF'!C12+1,'Taxes and TIF'!C12)</f>
        <v>1</v>
      </c>
      <c r="D13" s="42">
        <f t="shared" ref="D13:D45" si="25">+$D$11*E13</f>
        <v>6900151</v>
      </c>
      <c r="E13" s="116">
        <f t="shared" ref="E13:E22" si="26">+E12*(1+IF($A13=0,$D$2,0))</f>
        <v>1</v>
      </c>
      <c r="F13" s="42">
        <f t="shared" ca="1" si="0"/>
        <v>272823403.18685645</v>
      </c>
      <c r="G13" s="108">
        <f t="shared" ref="G13:G22" si="27">+G12</f>
        <v>0.35</v>
      </c>
      <c r="H13" s="42">
        <f t="shared" ca="1" si="1"/>
        <v>95488191.115399748</v>
      </c>
      <c r="I13" s="49">
        <f t="shared" ref="I13:I22" si="28">+I12</f>
        <v>96.515600000000006</v>
      </c>
      <c r="J13" s="42">
        <f t="shared" ref="J13:J22" ca="1" si="29">+MAX(I13*H13/1000-L13,0)</f>
        <v>8983009.7835680172</v>
      </c>
      <c r="K13" s="108">
        <f t="shared" ref="K13:K22" si="30">+K12</f>
        <v>0.25</v>
      </c>
      <c r="L13" s="42">
        <f t="shared" si="2"/>
        <v>233090.27484945997</v>
      </c>
      <c r="M13" s="42">
        <f t="shared" ref="M13:M22" ca="1" si="31">+L13+J13</f>
        <v>9216100.0584174767</v>
      </c>
      <c r="N13" s="42">
        <f t="shared" ref="N13:N22" ca="1" si="32">+J13*(1-K13)</f>
        <v>6737257.3376760129</v>
      </c>
      <c r="O13" s="42">
        <f t="shared" ref="O13:O22" ca="1" si="33">+N13/$D$4</f>
        <v>5389805.8701408105</v>
      </c>
      <c r="P13" s="406">
        <f t="shared" ca="1" si="9"/>
        <v>5389805.8701408105</v>
      </c>
      <c r="R13" s="124">
        <f t="shared" ref="R13:R22" si="34">+EOMONTH(R12,12)</f>
        <v>46022</v>
      </c>
      <c r="S13" s="117">
        <f>+IF(R13&gt;=X$9,'Taxes and TIF'!S12+1,'Taxes and TIF'!S12)</f>
        <v>1</v>
      </c>
      <c r="T13" s="42">
        <f t="shared" ref="T13:T22" si="35">+T12</f>
        <v>818973.10714285716</v>
      </c>
      <c r="U13" s="116">
        <f t="shared" ref="U13:U22" si="36">+U12*(1+IF($A13=0,$D$2,0))</f>
        <v>1</v>
      </c>
      <c r="V13" s="42">
        <f t="shared" ref="V13:V22" ca="1" si="37">+IF(R13&gt;=X$9,AA$9,0)*U13</f>
        <v>157043233.41040516</v>
      </c>
      <c r="W13" s="108">
        <f t="shared" ref="W13:W22" si="38">+W12</f>
        <v>0.35</v>
      </c>
      <c r="X13" s="42">
        <f t="shared" ref="X13:X22" ca="1" si="39">+V13*W13</f>
        <v>54965131.693641804</v>
      </c>
      <c r="Y13" s="49">
        <f t="shared" ref="Y13:Y22" si="40">+Y12</f>
        <v>96.515600000000006</v>
      </c>
      <c r="Z13" s="42">
        <f t="shared" ref="Z13:Z22" ca="1" si="41">+MAX(Y13*X13/1000-AB13,0)</f>
        <v>5277327.3762039402</v>
      </c>
      <c r="AA13" s="108">
        <f t="shared" ref="AA13:AA22" si="42">+AA12</f>
        <v>0.25</v>
      </c>
      <c r="AB13" s="42">
        <f t="shared" ref="AB13:AB22" si="43">+T13*W13*Y13/1000</f>
        <v>27665.288286914998</v>
      </c>
      <c r="AC13" s="42">
        <f t="shared" ref="AC13:AC22" ca="1" si="44">+AB13+Z13</f>
        <v>5304992.6644908553</v>
      </c>
      <c r="AD13" s="42">
        <f t="shared" ref="AD13:AD22" ca="1" si="45">+Z13*(1-AA13)</f>
        <v>3957995.5321529554</v>
      </c>
      <c r="AE13" s="42">
        <f t="shared" ref="AE13:AE22" ca="1" si="46">+AD13/$D$4</f>
        <v>3166396.4257223643</v>
      </c>
      <c r="AF13" s="406">
        <f t="shared" ca="1" si="16"/>
        <v>3166396.4257223643</v>
      </c>
      <c r="AG13" s="124">
        <f t="shared" ref="AG13:AG22" si="47">+EOMONTH(AG12,12)</f>
        <v>46752</v>
      </c>
      <c r="AH13" s="117">
        <f>+IF(AG13&gt;=AM$9,'Taxes and TIF'!AH12+1,'Taxes and TIF'!AH12)</f>
        <v>1</v>
      </c>
      <c r="AI13" s="42">
        <f t="shared" ref="AI13:AI22" si="48">+AI12</f>
        <v>9121587</v>
      </c>
      <c r="AJ13" s="116">
        <f t="shared" ref="AJ13:AJ22" si="49">+AJ12*(1+IF($A13=0,$D$2,0))</f>
        <v>1</v>
      </c>
      <c r="AK13" s="42">
        <f t="shared" ref="AK13:AK22" ca="1" si="50">+IF(AG13&gt;=AM$9,AP$9,0)*AJ13</f>
        <v>239503950.29747936</v>
      </c>
      <c r="AL13" s="108">
        <f t="shared" ref="AL13:AL22" si="51">+AL12</f>
        <v>0.35</v>
      </c>
      <c r="AM13" s="42">
        <f t="shared" ref="AM13:AM22" ca="1" si="52">+AK13*AL13</f>
        <v>83826382.604117766</v>
      </c>
      <c r="AN13" s="49">
        <f t="shared" ref="AN13:AN22" si="53">+AN12</f>
        <v>96.515600000000006</v>
      </c>
      <c r="AO13" s="42">
        <f t="shared" ref="AO13:AO22" ca="1" si="54">+MAX(AN13*AM13/1000-AQ13,0)</f>
        <v>7782422.2080759695</v>
      </c>
      <c r="AP13" s="108">
        <f t="shared" ref="AP13:AP22" si="55">+AP12</f>
        <v>0.25</v>
      </c>
      <c r="AQ13" s="42">
        <f t="shared" ref="AQ13:AQ22" si="56">+AI13*AL13*AN13/1000</f>
        <v>308131.40479001997</v>
      </c>
      <c r="AR13" s="42">
        <f t="shared" ref="AR13:AR22" ca="1" si="57">+AQ13+AO13</f>
        <v>8090553.6128659891</v>
      </c>
      <c r="AS13" s="42">
        <f t="shared" ref="AS13:AS22" ca="1" si="58">+AO13*(1-AP13)</f>
        <v>5836816.6560569769</v>
      </c>
      <c r="AT13" s="42">
        <f t="shared" ref="AT13:AT22" ca="1" si="59">+AS13/$D$4</f>
        <v>4669453.3248455813</v>
      </c>
      <c r="AU13" s="406">
        <f t="shared" ca="1" si="23"/>
        <v>4669453.3248455813</v>
      </c>
    </row>
    <row r="14" spans="1:47" ht="16" customHeight="1" x14ac:dyDescent="0.35">
      <c r="A14" s="110">
        <f t="shared" si="7"/>
        <v>0</v>
      </c>
      <c r="B14" s="124">
        <f t="shared" si="24"/>
        <v>45657</v>
      </c>
      <c r="C14" s="117">
        <f>+IF(B14&gt;=H$9,'Taxes and TIF'!C13+1,'Taxes and TIF'!C13)</f>
        <v>2</v>
      </c>
      <c r="D14" s="42">
        <f t="shared" si="25"/>
        <v>7038154.0200000005</v>
      </c>
      <c r="E14" s="116">
        <f t="shared" si="26"/>
        <v>1.02</v>
      </c>
      <c r="F14" s="42">
        <f t="shared" ca="1" si="0"/>
        <v>278279871.2505936</v>
      </c>
      <c r="G14" s="108">
        <f t="shared" si="27"/>
        <v>0.35</v>
      </c>
      <c r="H14" s="42">
        <f t="shared" ca="1" si="1"/>
        <v>97397954.937707752</v>
      </c>
      <c r="I14" s="49">
        <f t="shared" si="28"/>
        <v>96.515600000000006</v>
      </c>
      <c r="J14" s="42">
        <f t="shared" ca="1" si="29"/>
        <v>9162669.9792393781</v>
      </c>
      <c r="K14" s="108">
        <f t="shared" si="30"/>
        <v>0.25</v>
      </c>
      <c r="L14" s="42">
        <f t="shared" si="2"/>
        <v>237752.08034644922</v>
      </c>
      <c r="M14" s="42">
        <f t="shared" ca="1" si="31"/>
        <v>9400422.0595858265</v>
      </c>
      <c r="N14" s="42">
        <f t="shared" ca="1" si="32"/>
        <v>6872002.4844295336</v>
      </c>
      <c r="O14" s="42">
        <f t="shared" ca="1" si="33"/>
        <v>5497601.9875436267</v>
      </c>
      <c r="P14" s="406">
        <f t="shared" ca="1" si="9"/>
        <v>5497601.9875436267</v>
      </c>
      <c r="R14" s="124">
        <f t="shared" si="34"/>
        <v>46387</v>
      </c>
      <c r="S14" s="117">
        <f>+IF(R14&gt;=X$9,'Taxes and TIF'!S13+1,'Taxes and TIF'!S13)</f>
        <v>2</v>
      </c>
      <c r="T14" s="42">
        <f t="shared" si="35"/>
        <v>818973.10714285716</v>
      </c>
      <c r="U14" s="116">
        <f t="shared" si="36"/>
        <v>1.02</v>
      </c>
      <c r="V14" s="42">
        <f t="shared" ca="1" si="37"/>
        <v>160184098.07861325</v>
      </c>
      <c r="W14" s="108">
        <f t="shared" si="38"/>
        <v>0.35</v>
      </c>
      <c r="X14" s="42">
        <f t="shared" ca="1" si="39"/>
        <v>56064434.327514634</v>
      </c>
      <c r="Y14" s="49">
        <f t="shared" si="40"/>
        <v>96.515600000000006</v>
      </c>
      <c r="Z14" s="42">
        <f t="shared" ca="1" si="41"/>
        <v>5383427.2294937568</v>
      </c>
      <c r="AA14" s="108">
        <f t="shared" si="42"/>
        <v>0.25</v>
      </c>
      <c r="AB14" s="42">
        <f t="shared" si="43"/>
        <v>27665.288286914998</v>
      </c>
      <c r="AC14" s="42">
        <f t="shared" ca="1" si="44"/>
        <v>5411092.5177806718</v>
      </c>
      <c r="AD14" s="42">
        <f t="shared" ca="1" si="45"/>
        <v>4037570.4221203178</v>
      </c>
      <c r="AE14" s="42">
        <f t="shared" ca="1" si="46"/>
        <v>3230056.3376962543</v>
      </c>
      <c r="AF14" s="406">
        <f t="shared" ca="1" si="16"/>
        <v>3230056.3376962543</v>
      </c>
      <c r="AG14" s="124">
        <f t="shared" si="47"/>
        <v>47118</v>
      </c>
      <c r="AH14" s="117">
        <f>+IF(AG14&gt;=AM$9,'Taxes and TIF'!AH13+1,'Taxes and TIF'!AH13)</f>
        <v>2</v>
      </c>
      <c r="AI14" s="42">
        <f t="shared" si="48"/>
        <v>9121587</v>
      </c>
      <c r="AJ14" s="116">
        <f t="shared" si="49"/>
        <v>1.02</v>
      </c>
      <c r="AK14" s="42">
        <f t="shared" ca="1" si="50"/>
        <v>244294029.30342895</v>
      </c>
      <c r="AL14" s="108">
        <f t="shared" si="51"/>
        <v>0.35</v>
      </c>
      <c r="AM14" s="42">
        <f t="shared" ca="1" si="52"/>
        <v>85502910.25620012</v>
      </c>
      <c r="AN14" s="49">
        <f t="shared" si="53"/>
        <v>96.515600000000006</v>
      </c>
      <c r="AO14" s="42">
        <f t="shared" ca="1" si="54"/>
        <v>7944233.2803332899</v>
      </c>
      <c r="AP14" s="108">
        <f t="shared" si="55"/>
        <v>0.25</v>
      </c>
      <c r="AQ14" s="42">
        <f t="shared" si="56"/>
        <v>308131.40479001997</v>
      </c>
      <c r="AR14" s="42">
        <f t="shared" ca="1" si="57"/>
        <v>8252364.6851233095</v>
      </c>
      <c r="AS14" s="42">
        <f t="shared" ca="1" si="58"/>
        <v>5958174.9602499679</v>
      </c>
      <c r="AT14" s="42">
        <f t="shared" ca="1" si="59"/>
        <v>4766539.9681999739</v>
      </c>
      <c r="AU14" s="406">
        <f t="shared" ca="1" si="23"/>
        <v>4766539.9681999739</v>
      </c>
    </row>
    <row r="15" spans="1:47" ht="16" customHeight="1" x14ac:dyDescent="0.35">
      <c r="A15" s="110">
        <f t="shared" si="7"/>
        <v>1</v>
      </c>
      <c r="B15" s="124">
        <f t="shared" si="24"/>
        <v>46022</v>
      </c>
      <c r="C15" s="117">
        <f>+IF(B15&gt;=H$9,'Taxes and TIF'!C14+1,'Taxes and TIF'!C14)</f>
        <v>3</v>
      </c>
      <c r="D15" s="42">
        <f t="shared" si="25"/>
        <v>7038154.0200000005</v>
      </c>
      <c r="E15" s="116">
        <f t="shared" si="26"/>
        <v>1.02</v>
      </c>
      <c r="F15" s="42">
        <f t="shared" ca="1" si="0"/>
        <v>278279871.2505936</v>
      </c>
      <c r="G15" s="108">
        <f t="shared" si="27"/>
        <v>0.35</v>
      </c>
      <c r="H15" s="42">
        <f t="shared" ca="1" si="1"/>
        <v>97397954.937707752</v>
      </c>
      <c r="I15" s="49">
        <f t="shared" si="28"/>
        <v>96.515600000000006</v>
      </c>
      <c r="J15" s="42">
        <f t="shared" ca="1" si="29"/>
        <v>9162669.9792393781</v>
      </c>
      <c r="K15" s="108">
        <f t="shared" si="30"/>
        <v>0.25</v>
      </c>
      <c r="L15" s="42">
        <f t="shared" si="2"/>
        <v>237752.08034644922</v>
      </c>
      <c r="M15" s="42">
        <f t="shared" ca="1" si="31"/>
        <v>9400422.0595858265</v>
      </c>
      <c r="N15" s="42">
        <f t="shared" ca="1" si="32"/>
        <v>6872002.4844295336</v>
      </c>
      <c r="O15" s="42">
        <f t="shared" ca="1" si="33"/>
        <v>5497601.9875436267</v>
      </c>
      <c r="P15" s="406">
        <f t="shared" ca="1" si="9"/>
        <v>5497601.9875436267</v>
      </c>
      <c r="R15" s="124">
        <f t="shared" si="34"/>
        <v>46752</v>
      </c>
      <c r="S15" s="117">
        <f>+IF(R15&gt;=X$9,'Taxes and TIF'!S14+1,'Taxes and TIF'!S14)</f>
        <v>3</v>
      </c>
      <c r="T15" s="42">
        <f t="shared" si="35"/>
        <v>818973.10714285716</v>
      </c>
      <c r="U15" s="116">
        <f t="shared" si="36"/>
        <v>1.02</v>
      </c>
      <c r="V15" s="42">
        <f t="shared" ca="1" si="37"/>
        <v>160184098.07861325</v>
      </c>
      <c r="W15" s="108">
        <f t="shared" si="38"/>
        <v>0.35</v>
      </c>
      <c r="X15" s="42">
        <f t="shared" ca="1" si="39"/>
        <v>56064434.327514634</v>
      </c>
      <c r="Y15" s="49">
        <f t="shared" si="40"/>
        <v>96.515600000000006</v>
      </c>
      <c r="Z15" s="42">
        <f t="shared" ca="1" si="41"/>
        <v>5383427.2294937568</v>
      </c>
      <c r="AA15" s="108">
        <f t="shared" si="42"/>
        <v>0.25</v>
      </c>
      <c r="AB15" s="42">
        <f t="shared" si="43"/>
        <v>27665.288286914998</v>
      </c>
      <c r="AC15" s="42">
        <f t="shared" ca="1" si="44"/>
        <v>5411092.5177806718</v>
      </c>
      <c r="AD15" s="42">
        <f t="shared" ca="1" si="45"/>
        <v>4037570.4221203178</v>
      </c>
      <c r="AE15" s="42">
        <f t="shared" ca="1" si="46"/>
        <v>3230056.3376962543</v>
      </c>
      <c r="AF15" s="406">
        <f t="shared" ca="1" si="16"/>
        <v>3230056.3376962543</v>
      </c>
      <c r="AG15" s="124">
        <f t="shared" si="47"/>
        <v>47483</v>
      </c>
      <c r="AH15" s="117">
        <f>+IF(AG15&gt;=AM$9,'Taxes and TIF'!AH14+1,'Taxes and TIF'!AH14)</f>
        <v>3</v>
      </c>
      <c r="AI15" s="42">
        <f t="shared" si="48"/>
        <v>9121587</v>
      </c>
      <c r="AJ15" s="116">
        <f t="shared" si="49"/>
        <v>1.02</v>
      </c>
      <c r="AK15" s="42">
        <f t="shared" ca="1" si="50"/>
        <v>244294029.30342895</v>
      </c>
      <c r="AL15" s="108">
        <f t="shared" si="51"/>
        <v>0.35</v>
      </c>
      <c r="AM15" s="42">
        <f t="shared" ca="1" si="52"/>
        <v>85502910.25620012</v>
      </c>
      <c r="AN15" s="49">
        <f t="shared" si="53"/>
        <v>96.515600000000006</v>
      </c>
      <c r="AO15" s="42">
        <f t="shared" ca="1" si="54"/>
        <v>7944233.2803332899</v>
      </c>
      <c r="AP15" s="108">
        <f t="shared" si="55"/>
        <v>0.25</v>
      </c>
      <c r="AQ15" s="42">
        <f t="shared" si="56"/>
        <v>308131.40479001997</v>
      </c>
      <c r="AR15" s="42">
        <f t="shared" ca="1" si="57"/>
        <v>8252364.6851233095</v>
      </c>
      <c r="AS15" s="42">
        <f t="shared" ca="1" si="58"/>
        <v>5958174.9602499679</v>
      </c>
      <c r="AT15" s="42">
        <f t="shared" ca="1" si="59"/>
        <v>4766539.9681999739</v>
      </c>
      <c r="AU15" s="406">
        <f t="shared" ca="1" si="23"/>
        <v>4766539.9681999739</v>
      </c>
    </row>
    <row r="16" spans="1:47" ht="53.25" customHeight="1" x14ac:dyDescent="0.35">
      <c r="A16" s="110">
        <f t="shared" si="7"/>
        <v>2</v>
      </c>
      <c r="B16" s="124">
        <f t="shared" si="24"/>
        <v>46387</v>
      </c>
      <c r="C16" s="117">
        <f>+IF(B16&gt;=H$9,'Taxes and TIF'!C15+1,'Taxes and TIF'!C15)</f>
        <v>4</v>
      </c>
      <c r="D16" s="42">
        <f t="shared" si="25"/>
        <v>7038154.0200000005</v>
      </c>
      <c r="E16" s="116">
        <f t="shared" si="26"/>
        <v>1.02</v>
      </c>
      <c r="F16" s="42">
        <f t="shared" ca="1" si="0"/>
        <v>278279871.2505936</v>
      </c>
      <c r="G16" s="108">
        <f t="shared" si="27"/>
        <v>0.35</v>
      </c>
      <c r="H16" s="42">
        <f t="shared" ca="1" si="1"/>
        <v>97397954.937707752</v>
      </c>
      <c r="I16" s="49">
        <f t="shared" si="28"/>
        <v>96.515600000000006</v>
      </c>
      <c r="J16" s="42">
        <f t="shared" ca="1" si="29"/>
        <v>9162669.9792393781</v>
      </c>
      <c r="K16" s="108">
        <f t="shared" si="30"/>
        <v>0.25</v>
      </c>
      <c r="L16" s="42">
        <f t="shared" si="2"/>
        <v>237752.08034644922</v>
      </c>
      <c r="M16" s="42">
        <f t="shared" ca="1" si="31"/>
        <v>9400422.0595858265</v>
      </c>
      <c r="N16" s="42">
        <f t="shared" ca="1" si="32"/>
        <v>6872002.4844295336</v>
      </c>
      <c r="O16" s="42">
        <f t="shared" ca="1" si="33"/>
        <v>5497601.9875436267</v>
      </c>
      <c r="P16" s="406">
        <f t="shared" ca="1" si="9"/>
        <v>5497601.9875436267</v>
      </c>
      <c r="R16" s="124">
        <f t="shared" si="34"/>
        <v>47118</v>
      </c>
      <c r="S16" s="117">
        <f>+IF(R16&gt;=X$9,'Taxes and TIF'!S15+1,'Taxes and TIF'!S15)</f>
        <v>4</v>
      </c>
      <c r="T16" s="42">
        <f t="shared" si="35"/>
        <v>818973.10714285716</v>
      </c>
      <c r="U16" s="116">
        <f t="shared" si="36"/>
        <v>1.02</v>
      </c>
      <c r="V16" s="42">
        <f t="shared" ca="1" si="37"/>
        <v>160184098.07861325</v>
      </c>
      <c r="W16" s="108">
        <f t="shared" si="38"/>
        <v>0.35</v>
      </c>
      <c r="X16" s="42">
        <f t="shared" ca="1" si="39"/>
        <v>56064434.327514634</v>
      </c>
      <c r="Y16" s="49">
        <f t="shared" si="40"/>
        <v>96.515600000000006</v>
      </c>
      <c r="Z16" s="42">
        <f t="shared" ca="1" si="41"/>
        <v>5383427.2294937568</v>
      </c>
      <c r="AA16" s="108">
        <f t="shared" si="42"/>
        <v>0.25</v>
      </c>
      <c r="AB16" s="42">
        <f t="shared" si="43"/>
        <v>27665.288286914998</v>
      </c>
      <c r="AC16" s="42">
        <f t="shared" ca="1" si="44"/>
        <v>5411092.5177806718</v>
      </c>
      <c r="AD16" s="42">
        <f t="shared" ca="1" si="45"/>
        <v>4037570.4221203178</v>
      </c>
      <c r="AE16" s="42">
        <f t="shared" ca="1" si="46"/>
        <v>3230056.3376962543</v>
      </c>
      <c r="AF16" s="406">
        <f t="shared" ca="1" si="16"/>
        <v>3230056.3376962543</v>
      </c>
      <c r="AG16" s="124">
        <f t="shared" si="47"/>
        <v>47848</v>
      </c>
      <c r="AH16" s="117">
        <f>+IF(AG16&gt;=AM$9,'Taxes and TIF'!AH15+1,'Taxes and TIF'!AH15)</f>
        <v>4</v>
      </c>
      <c r="AI16" s="42">
        <f t="shared" si="48"/>
        <v>9121587</v>
      </c>
      <c r="AJ16" s="116">
        <f t="shared" si="49"/>
        <v>1.02</v>
      </c>
      <c r="AK16" s="42">
        <f t="shared" ca="1" si="50"/>
        <v>244294029.30342895</v>
      </c>
      <c r="AL16" s="108">
        <f t="shared" si="51"/>
        <v>0.35</v>
      </c>
      <c r="AM16" s="42">
        <f t="shared" ca="1" si="52"/>
        <v>85502910.25620012</v>
      </c>
      <c r="AN16" s="49">
        <f t="shared" si="53"/>
        <v>96.515600000000006</v>
      </c>
      <c r="AO16" s="42">
        <f t="shared" ca="1" si="54"/>
        <v>7944233.2803332899</v>
      </c>
      <c r="AP16" s="108">
        <f t="shared" si="55"/>
        <v>0.25</v>
      </c>
      <c r="AQ16" s="42">
        <f t="shared" si="56"/>
        <v>308131.40479001997</v>
      </c>
      <c r="AR16" s="42">
        <f t="shared" ca="1" si="57"/>
        <v>8252364.6851233095</v>
      </c>
      <c r="AS16" s="42">
        <f t="shared" ca="1" si="58"/>
        <v>5958174.9602499679</v>
      </c>
      <c r="AT16" s="42">
        <f t="shared" ca="1" si="59"/>
        <v>4766539.9681999739</v>
      </c>
      <c r="AU16" s="406">
        <f t="shared" ca="1" si="23"/>
        <v>4766539.9681999739</v>
      </c>
    </row>
    <row r="17" spans="1:47" s="207" customFormat="1" ht="16" customHeight="1" x14ac:dyDescent="0.35">
      <c r="A17" s="110">
        <f t="shared" si="7"/>
        <v>0</v>
      </c>
      <c r="B17" s="124">
        <f t="shared" si="24"/>
        <v>46752</v>
      </c>
      <c r="C17" s="117">
        <f>+IF(B17&gt;=H$9,'Taxes and TIF'!C16+1,'Taxes and TIF'!C16)</f>
        <v>5</v>
      </c>
      <c r="D17" s="42">
        <f t="shared" si="25"/>
        <v>7178917.1003999999</v>
      </c>
      <c r="E17" s="116">
        <f t="shared" si="26"/>
        <v>1.0404</v>
      </c>
      <c r="F17" s="42">
        <f t="shared" ca="1" si="0"/>
        <v>283845468.67560548</v>
      </c>
      <c r="G17" s="108">
        <f t="shared" si="27"/>
        <v>0.35</v>
      </c>
      <c r="H17" s="42">
        <f t="shared" ca="1" si="1"/>
        <v>99345914.036461905</v>
      </c>
      <c r="I17" s="49">
        <f t="shared" si="28"/>
        <v>96.515600000000006</v>
      </c>
      <c r="J17" s="42">
        <f t="shared" ca="1" si="29"/>
        <v>9345923.378824167</v>
      </c>
      <c r="K17" s="108">
        <f t="shared" si="30"/>
        <v>0.25</v>
      </c>
      <c r="L17" s="42">
        <f t="shared" si="2"/>
        <v>242507.1219533782</v>
      </c>
      <c r="M17" s="42">
        <f t="shared" ca="1" si="31"/>
        <v>9588430.5007775445</v>
      </c>
      <c r="N17" s="42">
        <f t="shared" ca="1" si="32"/>
        <v>7009442.5341181252</v>
      </c>
      <c r="O17" s="42">
        <f t="shared" ca="1" si="33"/>
        <v>5607554.0272944998</v>
      </c>
      <c r="P17" s="406">
        <f t="shared" ca="1" si="9"/>
        <v>5607554.0272944998</v>
      </c>
      <c r="Q17" s="41"/>
      <c r="R17" s="124">
        <f t="shared" si="34"/>
        <v>47483</v>
      </c>
      <c r="S17" s="117">
        <f>+IF(R17&gt;=X$9,'Taxes and TIF'!S16+1,'Taxes and TIF'!S16)</f>
        <v>5</v>
      </c>
      <c r="T17" s="42">
        <f t="shared" si="35"/>
        <v>818973.10714285716</v>
      </c>
      <c r="U17" s="116">
        <f t="shared" si="36"/>
        <v>1.0404</v>
      </c>
      <c r="V17" s="42">
        <f t="shared" ca="1" si="37"/>
        <v>163387780.04018554</v>
      </c>
      <c r="W17" s="108">
        <f t="shared" si="38"/>
        <v>0.35</v>
      </c>
      <c r="X17" s="42">
        <f t="shared" ca="1" si="39"/>
        <v>57185723.014064938</v>
      </c>
      <c r="Y17" s="49">
        <f t="shared" si="40"/>
        <v>96.515600000000006</v>
      </c>
      <c r="Z17" s="42">
        <f t="shared" ca="1" si="41"/>
        <v>5491649.0798493717</v>
      </c>
      <c r="AA17" s="108">
        <f t="shared" si="42"/>
        <v>0.25</v>
      </c>
      <c r="AB17" s="42">
        <f t="shared" si="43"/>
        <v>27665.288286914998</v>
      </c>
      <c r="AC17" s="42">
        <f t="shared" ca="1" si="44"/>
        <v>5519314.3681362867</v>
      </c>
      <c r="AD17" s="42">
        <f t="shared" ca="1" si="45"/>
        <v>4118736.8098870288</v>
      </c>
      <c r="AE17" s="42">
        <f t="shared" ca="1" si="46"/>
        <v>3294989.4479096229</v>
      </c>
      <c r="AF17" s="406">
        <f t="shared" ca="1" si="16"/>
        <v>3294989.4479096229</v>
      </c>
      <c r="AG17" s="124">
        <f t="shared" si="47"/>
        <v>48213</v>
      </c>
      <c r="AH17" s="117">
        <f>+IF(AG17&gt;=AM$9,'Taxes and TIF'!AH16+1,'Taxes and TIF'!AH16)</f>
        <v>5</v>
      </c>
      <c r="AI17" s="42">
        <f t="shared" si="48"/>
        <v>9121587</v>
      </c>
      <c r="AJ17" s="116">
        <f t="shared" si="49"/>
        <v>1.0404</v>
      </c>
      <c r="AK17" s="42">
        <f t="shared" ca="1" si="50"/>
        <v>249179909.88949752</v>
      </c>
      <c r="AL17" s="108">
        <f t="shared" si="51"/>
        <v>0.35</v>
      </c>
      <c r="AM17" s="42">
        <f t="shared" ca="1" si="52"/>
        <v>87212968.461324126</v>
      </c>
      <c r="AN17" s="49">
        <f t="shared" si="53"/>
        <v>96.515600000000006</v>
      </c>
      <c r="AO17" s="42">
        <f t="shared" ca="1" si="54"/>
        <v>8109280.5740357563</v>
      </c>
      <c r="AP17" s="108">
        <f t="shared" si="55"/>
        <v>0.25</v>
      </c>
      <c r="AQ17" s="42">
        <f t="shared" si="56"/>
        <v>308131.40479001997</v>
      </c>
      <c r="AR17" s="42">
        <f t="shared" ca="1" si="57"/>
        <v>8417411.9788257759</v>
      </c>
      <c r="AS17" s="42">
        <f t="shared" ca="1" si="58"/>
        <v>6081960.4305268172</v>
      </c>
      <c r="AT17" s="42">
        <f t="shared" ca="1" si="59"/>
        <v>4865568.3444214538</v>
      </c>
      <c r="AU17" s="406">
        <f t="shared" ca="1" si="23"/>
        <v>4865568.3444214538</v>
      </c>
    </row>
    <row r="18" spans="1:47" ht="16" customHeight="1" x14ac:dyDescent="0.35">
      <c r="A18" s="110">
        <f t="shared" ref="A18:A45" si="60">+MOD(A17+1,$D$3)</f>
        <v>1</v>
      </c>
      <c r="B18" s="124">
        <f t="shared" si="24"/>
        <v>47118</v>
      </c>
      <c r="C18" s="117">
        <f>+IF(B18&gt;=H$9,'Taxes and TIF'!C17+1,'Taxes and TIF'!C17)</f>
        <v>6</v>
      </c>
      <c r="D18" s="42">
        <f t="shared" si="25"/>
        <v>7178917.1003999999</v>
      </c>
      <c r="E18" s="116">
        <f t="shared" si="26"/>
        <v>1.0404</v>
      </c>
      <c r="F18" s="42">
        <f t="shared" ca="1" si="0"/>
        <v>283845468.67560548</v>
      </c>
      <c r="G18" s="108">
        <f t="shared" si="27"/>
        <v>0.35</v>
      </c>
      <c r="H18" s="42">
        <f t="shared" ca="1" si="1"/>
        <v>99345914.036461905</v>
      </c>
      <c r="I18" s="49">
        <f t="shared" si="28"/>
        <v>96.515600000000006</v>
      </c>
      <c r="J18" s="42">
        <f t="shared" ca="1" si="29"/>
        <v>9345923.378824167</v>
      </c>
      <c r="K18" s="108">
        <f t="shared" si="30"/>
        <v>0.25</v>
      </c>
      <c r="L18" s="42">
        <f t="shared" si="2"/>
        <v>242507.1219533782</v>
      </c>
      <c r="M18" s="42">
        <f t="shared" ca="1" si="31"/>
        <v>9588430.5007775445</v>
      </c>
      <c r="N18" s="42">
        <f t="shared" ca="1" si="32"/>
        <v>7009442.5341181252</v>
      </c>
      <c r="O18" s="42">
        <f t="shared" ca="1" si="33"/>
        <v>5607554.0272944998</v>
      </c>
      <c r="P18" s="406">
        <f t="shared" ca="1" si="9"/>
        <v>5607554.0272944998</v>
      </c>
      <c r="R18" s="124">
        <f t="shared" si="34"/>
        <v>47848</v>
      </c>
      <c r="S18" s="117">
        <f>+IF(R18&gt;=X$9,'Taxes and TIF'!S17+1,'Taxes and TIF'!S17)</f>
        <v>6</v>
      </c>
      <c r="T18" s="42">
        <f t="shared" si="35"/>
        <v>818973.10714285716</v>
      </c>
      <c r="U18" s="116">
        <f t="shared" si="36"/>
        <v>1.0404</v>
      </c>
      <c r="V18" s="42">
        <f t="shared" ca="1" si="37"/>
        <v>163387780.04018554</v>
      </c>
      <c r="W18" s="108">
        <f t="shared" si="38"/>
        <v>0.35</v>
      </c>
      <c r="X18" s="42">
        <f t="shared" ca="1" si="39"/>
        <v>57185723.014064938</v>
      </c>
      <c r="Y18" s="49">
        <f t="shared" si="40"/>
        <v>96.515600000000006</v>
      </c>
      <c r="Z18" s="42">
        <f t="shared" ca="1" si="41"/>
        <v>5491649.0798493717</v>
      </c>
      <c r="AA18" s="108">
        <f t="shared" si="42"/>
        <v>0.25</v>
      </c>
      <c r="AB18" s="42">
        <f t="shared" si="43"/>
        <v>27665.288286914998</v>
      </c>
      <c r="AC18" s="42">
        <f t="shared" ca="1" si="44"/>
        <v>5519314.3681362867</v>
      </c>
      <c r="AD18" s="42">
        <f t="shared" ca="1" si="45"/>
        <v>4118736.8098870288</v>
      </c>
      <c r="AE18" s="42">
        <f t="shared" ca="1" si="46"/>
        <v>3294989.4479096229</v>
      </c>
      <c r="AF18" s="406">
        <f t="shared" ca="1" si="16"/>
        <v>3294989.4479096229</v>
      </c>
      <c r="AG18" s="124">
        <f t="shared" si="47"/>
        <v>48579</v>
      </c>
      <c r="AH18" s="117">
        <f>+IF(AG18&gt;=AM$9,'Taxes and TIF'!AH17+1,'Taxes and TIF'!AH17)</f>
        <v>6</v>
      </c>
      <c r="AI18" s="42">
        <f t="shared" si="48"/>
        <v>9121587</v>
      </c>
      <c r="AJ18" s="116">
        <f t="shared" si="49"/>
        <v>1.0404</v>
      </c>
      <c r="AK18" s="42">
        <f t="shared" ca="1" si="50"/>
        <v>249179909.88949752</v>
      </c>
      <c r="AL18" s="108">
        <f t="shared" si="51"/>
        <v>0.35</v>
      </c>
      <c r="AM18" s="42">
        <f t="shared" ca="1" si="52"/>
        <v>87212968.461324126</v>
      </c>
      <c r="AN18" s="49">
        <f t="shared" si="53"/>
        <v>96.515600000000006</v>
      </c>
      <c r="AO18" s="42">
        <f t="shared" ca="1" si="54"/>
        <v>8109280.5740357563</v>
      </c>
      <c r="AP18" s="108">
        <f t="shared" si="55"/>
        <v>0.25</v>
      </c>
      <c r="AQ18" s="42">
        <f t="shared" si="56"/>
        <v>308131.40479001997</v>
      </c>
      <c r="AR18" s="42">
        <f t="shared" ca="1" si="57"/>
        <v>8417411.9788257759</v>
      </c>
      <c r="AS18" s="42">
        <f t="shared" ca="1" si="58"/>
        <v>6081960.4305268172</v>
      </c>
      <c r="AT18" s="42">
        <f t="shared" ca="1" si="59"/>
        <v>4865568.3444214538</v>
      </c>
      <c r="AU18" s="406">
        <f t="shared" ca="1" si="23"/>
        <v>4865568.3444214538</v>
      </c>
    </row>
    <row r="19" spans="1:47" ht="16" customHeight="1" x14ac:dyDescent="0.35">
      <c r="A19" s="110">
        <f t="shared" si="60"/>
        <v>2</v>
      </c>
      <c r="B19" s="124">
        <f t="shared" si="24"/>
        <v>47483</v>
      </c>
      <c r="C19" s="117">
        <f>+IF(B19&gt;=H$9,'Taxes and TIF'!C18+1,'Taxes and TIF'!C18)</f>
        <v>7</v>
      </c>
      <c r="D19" s="42">
        <f t="shared" si="25"/>
        <v>7178917.1003999999</v>
      </c>
      <c r="E19" s="116">
        <f t="shared" si="26"/>
        <v>1.0404</v>
      </c>
      <c r="F19" s="42">
        <f t="shared" ca="1" si="0"/>
        <v>283845468.67560548</v>
      </c>
      <c r="G19" s="108">
        <f t="shared" si="27"/>
        <v>0.35</v>
      </c>
      <c r="H19" s="42">
        <f t="shared" ca="1" si="1"/>
        <v>99345914.036461905</v>
      </c>
      <c r="I19" s="49">
        <f t="shared" si="28"/>
        <v>96.515600000000006</v>
      </c>
      <c r="J19" s="42">
        <f t="shared" ca="1" si="29"/>
        <v>9345923.378824167</v>
      </c>
      <c r="K19" s="108">
        <f t="shared" si="30"/>
        <v>0.25</v>
      </c>
      <c r="L19" s="42">
        <f t="shared" si="2"/>
        <v>242507.1219533782</v>
      </c>
      <c r="M19" s="42">
        <f t="shared" ca="1" si="31"/>
        <v>9588430.5007775445</v>
      </c>
      <c r="N19" s="42">
        <f t="shared" ca="1" si="32"/>
        <v>7009442.5341181252</v>
      </c>
      <c r="O19" s="42">
        <f t="shared" ca="1" si="33"/>
        <v>5607554.0272944998</v>
      </c>
      <c r="P19" s="406">
        <f t="shared" ca="1" si="9"/>
        <v>5607554.0272944998</v>
      </c>
      <c r="R19" s="124">
        <f t="shared" si="34"/>
        <v>48213</v>
      </c>
      <c r="S19" s="117">
        <f>+IF(R19&gt;=X$9,'Taxes and TIF'!S18+1,'Taxes and TIF'!S18)</f>
        <v>7</v>
      </c>
      <c r="T19" s="42">
        <f t="shared" si="35"/>
        <v>818973.10714285716</v>
      </c>
      <c r="U19" s="116">
        <f t="shared" si="36"/>
        <v>1.0404</v>
      </c>
      <c r="V19" s="42">
        <f t="shared" ca="1" si="37"/>
        <v>163387780.04018554</v>
      </c>
      <c r="W19" s="108">
        <f t="shared" si="38"/>
        <v>0.35</v>
      </c>
      <c r="X19" s="42">
        <f t="shared" ca="1" si="39"/>
        <v>57185723.014064938</v>
      </c>
      <c r="Y19" s="49">
        <f t="shared" si="40"/>
        <v>96.515600000000006</v>
      </c>
      <c r="Z19" s="42">
        <f t="shared" ca="1" si="41"/>
        <v>5491649.0798493717</v>
      </c>
      <c r="AA19" s="108">
        <f t="shared" si="42"/>
        <v>0.25</v>
      </c>
      <c r="AB19" s="42">
        <f t="shared" si="43"/>
        <v>27665.288286914998</v>
      </c>
      <c r="AC19" s="42">
        <f t="shared" ca="1" si="44"/>
        <v>5519314.3681362867</v>
      </c>
      <c r="AD19" s="42">
        <f t="shared" ca="1" si="45"/>
        <v>4118736.8098870288</v>
      </c>
      <c r="AE19" s="42">
        <f t="shared" ca="1" si="46"/>
        <v>3294989.4479096229</v>
      </c>
      <c r="AF19" s="406">
        <f t="shared" ca="1" si="16"/>
        <v>3294989.4479096229</v>
      </c>
      <c r="AG19" s="124">
        <f t="shared" si="47"/>
        <v>48944</v>
      </c>
      <c r="AH19" s="117">
        <f>+IF(AG19&gt;=AM$9,'Taxes and TIF'!AH18+1,'Taxes and TIF'!AH18)</f>
        <v>7</v>
      </c>
      <c r="AI19" s="42">
        <f t="shared" si="48"/>
        <v>9121587</v>
      </c>
      <c r="AJ19" s="116">
        <f t="shared" si="49"/>
        <v>1.0404</v>
      </c>
      <c r="AK19" s="42">
        <f t="shared" ca="1" si="50"/>
        <v>249179909.88949752</v>
      </c>
      <c r="AL19" s="108">
        <f t="shared" si="51"/>
        <v>0.35</v>
      </c>
      <c r="AM19" s="42">
        <f t="shared" ca="1" si="52"/>
        <v>87212968.461324126</v>
      </c>
      <c r="AN19" s="49">
        <f t="shared" si="53"/>
        <v>96.515600000000006</v>
      </c>
      <c r="AO19" s="42">
        <f t="shared" ca="1" si="54"/>
        <v>8109280.5740357563</v>
      </c>
      <c r="AP19" s="108">
        <f t="shared" si="55"/>
        <v>0.25</v>
      </c>
      <c r="AQ19" s="42">
        <f t="shared" si="56"/>
        <v>308131.40479001997</v>
      </c>
      <c r="AR19" s="42">
        <f t="shared" ca="1" si="57"/>
        <v>8417411.9788257759</v>
      </c>
      <c r="AS19" s="42">
        <f t="shared" ca="1" si="58"/>
        <v>6081960.4305268172</v>
      </c>
      <c r="AT19" s="42">
        <f t="shared" ca="1" si="59"/>
        <v>4865568.3444214538</v>
      </c>
      <c r="AU19" s="406">
        <f t="shared" ca="1" si="23"/>
        <v>4865568.3444214538</v>
      </c>
    </row>
    <row r="20" spans="1:47" ht="16" customHeight="1" x14ac:dyDescent="0.35">
      <c r="A20" s="110">
        <f t="shared" si="60"/>
        <v>0</v>
      </c>
      <c r="B20" s="124">
        <f t="shared" si="24"/>
        <v>47848</v>
      </c>
      <c r="C20" s="117">
        <f>+IF(B20&gt;=H$9,'Taxes and TIF'!C19+1,'Taxes and TIF'!C19)</f>
        <v>8</v>
      </c>
      <c r="D20" s="42">
        <f t="shared" si="25"/>
        <v>7322495.4424079992</v>
      </c>
      <c r="E20" s="116">
        <f t="shared" si="26"/>
        <v>1.0612079999999999</v>
      </c>
      <c r="F20" s="42">
        <f t="shared" ca="1" si="0"/>
        <v>289522378.04911757</v>
      </c>
      <c r="G20" s="108">
        <f t="shared" si="27"/>
        <v>0.35</v>
      </c>
      <c r="H20" s="42">
        <f t="shared" ca="1" si="1"/>
        <v>101332832.31719114</v>
      </c>
      <c r="I20" s="49">
        <f t="shared" si="28"/>
        <v>96.515600000000006</v>
      </c>
      <c r="J20" s="42">
        <f t="shared" ca="1" si="29"/>
        <v>9532841.8464006502</v>
      </c>
      <c r="K20" s="108">
        <f t="shared" si="30"/>
        <v>0.25</v>
      </c>
      <c r="L20" s="42">
        <f t="shared" si="2"/>
        <v>247357.26439244571</v>
      </c>
      <c r="M20" s="42">
        <f t="shared" ca="1" si="31"/>
        <v>9780199.1107930951</v>
      </c>
      <c r="N20" s="42">
        <f t="shared" ca="1" si="32"/>
        <v>7149631.3848004881</v>
      </c>
      <c r="O20" s="42">
        <f t="shared" ca="1" si="33"/>
        <v>5719705.1078403909</v>
      </c>
      <c r="P20" s="406">
        <f t="shared" ca="1" si="9"/>
        <v>5719705.1078403909</v>
      </c>
      <c r="R20" s="124">
        <f t="shared" si="34"/>
        <v>48579</v>
      </c>
      <c r="S20" s="117">
        <f>+IF(R20&gt;=X$9,'Taxes and TIF'!S19+1,'Taxes and TIF'!S19)</f>
        <v>8</v>
      </c>
      <c r="T20" s="42">
        <f t="shared" si="35"/>
        <v>818973.10714285716</v>
      </c>
      <c r="U20" s="116">
        <f t="shared" si="36"/>
        <v>1.0612079999999999</v>
      </c>
      <c r="V20" s="42">
        <f t="shared" ca="1" si="37"/>
        <v>166655535.64098921</v>
      </c>
      <c r="W20" s="108">
        <f t="shared" si="38"/>
        <v>0.35</v>
      </c>
      <c r="X20" s="42">
        <f t="shared" ca="1" si="39"/>
        <v>58329437.47434622</v>
      </c>
      <c r="Y20" s="49">
        <f t="shared" si="40"/>
        <v>96.515600000000006</v>
      </c>
      <c r="Z20" s="42">
        <f t="shared" ca="1" si="41"/>
        <v>5602035.3672120953</v>
      </c>
      <c r="AA20" s="108">
        <f t="shared" si="42"/>
        <v>0.25</v>
      </c>
      <c r="AB20" s="42">
        <f t="shared" si="43"/>
        <v>27665.288286914998</v>
      </c>
      <c r="AC20" s="42">
        <f t="shared" ca="1" si="44"/>
        <v>5629700.6554990103</v>
      </c>
      <c r="AD20" s="42">
        <f t="shared" ca="1" si="45"/>
        <v>4201526.5254090717</v>
      </c>
      <c r="AE20" s="42">
        <f t="shared" ca="1" si="46"/>
        <v>3361221.2203272572</v>
      </c>
      <c r="AF20" s="406">
        <f t="shared" ca="1" si="16"/>
        <v>3361221.2203272572</v>
      </c>
      <c r="AG20" s="124">
        <f t="shared" si="47"/>
        <v>49309</v>
      </c>
      <c r="AH20" s="117">
        <f>+IF(AG20&gt;=AM$9,'Taxes and TIF'!AH19+1,'Taxes and TIF'!AH19)</f>
        <v>8</v>
      </c>
      <c r="AI20" s="42">
        <f t="shared" si="48"/>
        <v>9121587</v>
      </c>
      <c r="AJ20" s="116">
        <f t="shared" si="49"/>
        <v>1.0612079999999999</v>
      </c>
      <c r="AK20" s="42">
        <f t="shared" ca="1" si="50"/>
        <v>254163508.08728746</v>
      </c>
      <c r="AL20" s="108">
        <f t="shared" si="51"/>
        <v>0.35</v>
      </c>
      <c r="AM20" s="42">
        <f t="shared" ca="1" si="52"/>
        <v>88957227.830550611</v>
      </c>
      <c r="AN20" s="49">
        <f t="shared" si="53"/>
        <v>96.515600000000006</v>
      </c>
      <c r="AO20" s="42">
        <f t="shared" ca="1" si="54"/>
        <v>8277628.8136122711</v>
      </c>
      <c r="AP20" s="108">
        <f t="shared" si="55"/>
        <v>0.25</v>
      </c>
      <c r="AQ20" s="42">
        <f t="shared" si="56"/>
        <v>308131.40479001997</v>
      </c>
      <c r="AR20" s="42">
        <f t="shared" ca="1" si="57"/>
        <v>8585760.2184022907</v>
      </c>
      <c r="AS20" s="42">
        <f t="shared" ca="1" si="58"/>
        <v>6208221.6102092033</v>
      </c>
      <c r="AT20" s="42">
        <f t="shared" ca="1" si="59"/>
        <v>4966577.288167363</v>
      </c>
      <c r="AU20" s="406">
        <f t="shared" ca="1" si="23"/>
        <v>4966577.288167363</v>
      </c>
    </row>
    <row r="21" spans="1:47" ht="16" customHeight="1" x14ac:dyDescent="0.35">
      <c r="A21" s="110">
        <f t="shared" si="60"/>
        <v>1</v>
      </c>
      <c r="B21" s="124">
        <f t="shared" si="24"/>
        <v>48213</v>
      </c>
      <c r="C21" s="117">
        <f>+IF(B21&gt;=H$9,'Taxes and TIF'!C20+1,'Taxes and TIF'!C20)</f>
        <v>9</v>
      </c>
      <c r="D21" s="42">
        <f t="shared" si="25"/>
        <v>7322495.4424079992</v>
      </c>
      <c r="E21" s="116">
        <f t="shared" si="26"/>
        <v>1.0612079999999999</v>
      </c>
      <c r="F21" s="42">
        <f t="shared" ca="1" si="0"/>
        <v>289522378.04911757</v>
      </c>
      <c r="G21" s="108">
        <f t="shared" si="27"/>
        <v>0.35</v>
      </c>
      <c r="H21" s="42">
        <f t="shared" ca="1" si="1"/>
        <v>101332832.31719114</v>
      </c>
      <c r="I21" s="49">
        <f t="shared" si="28"/>
        <v>96.515600000000006</v>
      </c>
      <c r="J21" s="42">
        <f t="shared" ca="1" si="29"/>
        <v>9532841.8464006502</v>
      </c>
      <c r="K21" s="108">
        <f t="shared" si="30"/>
        <v>0.25</v>
      </c>
      <c r="L21" s="42">
        <f t="shared" si="2"/>
        <v>247357.26439244571</v>
      </c>
      <c r="M21" s="42">
        <f t="shared" ca="1" si="31"/>
        <v>9780199.1107930951</v>
      </c>
      <c r="N21" s="42">
        <f t="shared" ca="1" si="32"/>
        <v>7149631.3848004881</v>
      </c>
      <c r="O21" s="42">
        <f t="shared" ca="1" si="33"/>
        <v>5719705.1078403909</v>
      </c>
      <c r="P21" s="406">
        <f t="shared" ca="1" si="9"/>
        <v>5719705.1078403909</v>
      </c>
      <c r="R21" s="124">
        <f t="shared" si="34"/>
        <v>48944</v>
      </c>
      <c r="S21" s="117">
        <f>+IF(R21&gt;=X$9,'Taxes and TIF'!S20+1,'Taxes and TIF'!S20)</f>
        <v>9</v>
      </c>
      <c r="T21" s="42">
        <f t="shared" si="35"/>
        <v>818973.10714285716</v>
      </c>
      <c r="U21" s="116">
        <f t="shared" si="36"/>
        <v>1.0612079999999999</v>
      </c>
      <c r="V21" s="42">
        <f t="shared" ca="1" si="37"/>
        <v>166655535.64098921</v>
      </c>
      <c r="W21" s="108">
        <f t="shared" si="38"/>
        <v>0.35</v>
      </c>
      <c r="X21" s="42">
        <f t="shared" ca="1" si="39"/>
        <v>58329437.47434622</v>
      </c>
      <c r="Y21" s="49">
        <f t="shared" si="40"/>
        <v>96.515600000000006</v>
      </c>
      <c r="Z21" s="42">
        <f t="shared" ca="1" si="41"/>
        <v>5602035.3672120953</v>
      </c>
      <c r="AA21" s="108">
        <f t="shared" si="42"/>
        <v>0.25</v>
      </c>
      <c r="AB21" s="42">
        <f t="shared" si="43"/>
        <v>27665.288286914998</v>
      </c>
      <c r="AC21" s="42">
        <f t="shared" ca="1" si="44"/>
        <v>5629700.6554990103</v>
      </c>
      <c r="AD21" s="42">
        <f t="shared" ca="1" si="45"/>
        <v>4201526.5254090717</v>
      </c>
      <c r="AE21" s="42">
        <f t="shared" ca="1" si="46"/>
        <v>3361221.2203272572</v>
      </c>
      <c r="AF21" s="406">
        <f t="shared" ca="1" si="16"/>
        <v>3361221.2203272572</v>
      </c>
      <c r="AG21" s="124">
        <f t="shared" si="47"/>
        <v>49674</v>
      </c>
      <c r="AH21" s="117">
        <f>+IF(AG21&gt;=AM$9,'Taxes and TIF'!AH20+1,'Taxes and TIF'!AH20)</f>
        <v>9</v>
      </c>
      <c r="AI21" s="42">
        <f t="shared" si="48"/>
        <v>9121587</v>
      </c>
      <c r="AJ21" s="116">
        <f t="shared" si="49"/>
        <v>1.0612079999999999</v>
      </c>
      <c r="AK21" s="42">
        <f t="shared" ca="1" si="50"/>
        <v>254163508.08728746</v>
      </c>
      <c r="AL21" s="108">
        <f t="shared" si="51"/>
        <v>0.35</v>
      </c>
      <c r="AM21" s="42">
        <f t="shared" ca="1" si="52"/>
        <v>88957227.830550611</v>
      </c>
      <c r="AN21" s="49">
        <f t="shared" si="53"/>
        <v>96.515600000000006</v>
      </c>
      <c r="AO21" s="42">
        <f t="shared" ca="1" si="54"/>
        <v>8277628.8136122711</v>
      </c>
      <c r="AP21" s="108">
        <f t="shared" si="55"/>
        <v>0.25</v>
      </c>
      <c r="AQ21" s="42">
        <f t="shared" si="56"/>
        <v>308131.40479001997</v>
      </c>
      <c r="AR21" s="42">
        <f t="shared" ca="1" si="57"/>
        <v>8585760.2184022907</v>
      </c>
      <c r="AS21" s="42">
        <f t="shared" ca="1" si="58"/>
        <v>6208221.6102092033</v>
      </c>
      <c r="AT21" s="42">
        <f t="shared" ca="1" si="59"/>
        <v>4966577.288167363</v>
      </c>
      <c r="AU21" s="406">
        <f t="shared" ca="1" si="23"/>
        <v>4966577.288167363</v>
      </c>
    </row>
    <row r="22" spans="1:47" ht="16" customHeight="1" x14ac:dyDescent="0.35">
      <c r="A22" s="110">
        <f t="shared" si="60"/>
        <v>2</v>
      </c>
      <c r="B22" s="124">
        <f t="shared" si="24"/>
        <v>48579</v>
      </c>
      <c r="C22" s="117">
        <f>+IF(B22&gt;=H$9,'Taxes and TIF'!C21+1,'Taxes and TIF'!C21)</f>
        <v>10</v>
      </c>
      <c r="D22" s="42">
        <f t="shared" si="25"/>
        <v>7322495.4424079992</v>
      </c>
      <c r="E22" s="116">
        <f t="shared" si="26"/>
        <v>1.0612079999999999</v>
      </c>
      <c r="F22" s="42">
        <f t="shared" ca="1" si="0"/>
        <v>289522378.04911757</v>
      </c>
      <c r="G22" s="108">
        <f t="shared" si="27"/>
        <v>0.35</v>
      </c>
      <c r="H22" s="42">
        <f t="shared" ca="1" si="1"/>
        <v>101332832.31719114</v>
      </c>
      <c r="I22" s="49">
        <f t="shared" si="28"/>
        <v>96.515600000000006</v>
      </c>
      <c r="J22" s="42">
        <f t="shared" ca="1" si="29"/>
        <v>9532841.8464006502</v>
      </c>
      <c r="K22" s="108">
        <f t="shared" si="30"/>
        <v>0.25</v>
      </c>
      <c r="L22" s="42">
        <f t="shared" si="2"/>
        <v>247357.26439244571</v>
      </c>
      <c r="M22" s="42">
        <f t="shared" ca="1" si="31"/>
        <v>9780199.1107930951</v>
      </c>
      <c r="N22" s="42">
        <f t="shared" ca="1" si="32"/>
        <v>7149631.3848004881</v>
      </c>
      <c r="O22" s="42">
        <f t="shared" ca="1" si="33"/>
        <v>5719705.1078403909</v>
      </c>
      <c r="P22" s="406">
        <f t="shared" ca="1" si="9"/>
        <v>5719705.1078403909</v>
      </c>
      <c r="R22" s="124">
        <f t="shared" si="34"/>
        <v>49309</v>
      </c>
      <c r="S22" s="117">
        <f>+IF(R22&gt;=X$9,'Taxes and TIF'!S21+1,'Taxes and TIF'!S21)</f>
        <v>10</v>
      </c>
      <c r="T22" s="42">
        <f t="shared" si="35"/>
        <v>818973.10714285716</v>
      </c>
      <c r="U22" s="116">
        <f t="shared" si="36"/>
        <v>1.0612079999999999</v>
      </c>
      <c r="V22" s="42">
        <f t="shared" ca="1" si="37"/>
        <v>166655535.64098921</v>
      </c>
      <c r="W22" s="108">
        <f t="shared" si="38"/>
        <v>0.35</v>
      </c>
      <c r="X22" s="42">
        <f t="shared" ca="1" si="39"/>
        <v>58329437.47434622</v>
      </c>
      <c r="Y22" s="49">
        <f t="shared" si="40"/>
        <v>96.515600000000006</v>
      </c>
      <c r="Z22" s="42">
        <f t="shared" ca="1" si="41"/>
        <v>5602035.3672120953</v>
      </c>
      <c r="AA22" s="108">
        <f t="shared" si="42"/>
        <v>0.25</v>
      </c>
      <c r="AB22" s="42">
        <f t="shared" si="43"/>
        <v>27665.288286914998</v>
      </c>
      <c r="AC22" s="42">
        <f t="shared" ca="1" si="44"/>
        <v>5629700.6554990103</v>
      </c>
      <c r="AD22" s="42">
        <f t="shared" ca="1" si="45"/>
        <v>4201526.5254090717</v>
      </c>
      <c r="AE22" s="42">
        <f t="shared" ca="1" si="46"/>
        <v>3361221.2203272572</v>
      </c>
      <c r="AF22" s="406">
        <f t="shared" ca="1" si="16"/>
        <v>3361221.2203272572</v>
      </c>
      <c r="AG22" s="124">
        <f t="shared" si="47"/>
        <v>50040</v>
      </c>
      <c r="AH22" s="117">
        <f>+IF(AG22&gt;=AM$9,'Taxes and TIF'!AH21+1,'Taxes and TIF'!AH21)</f>
        <v>10</v>
      </c>
      <c r="AI22" s="42">
        <f t="shared" si="48"/>
        <v>9121587</v>
      </c>
      <c r="AJ22" s="116">
        <f t="shared" si="49"/>
        <v>1.0612079999999999</v>
      </c>
      <c r="AK22" s="42">
        <f t="shared" ca="1" si="50"/>
        <v>254163508.08728746</v>
      </c>
      <c r="AL22" s="108">
        <f t="shared" si="51"/>
        <v>0.35</v>
      </c>
      <c r="AM22" s="42">
        <f t="shared" ca="1" si="52"/>
        <v>88957227.830550611</v>
      </c>
      <c r="AN22" s="49">
        <f t="shared" si="53"/>
        <v>96.515600000000006</v>
      </c>
      <c r="AO22" s="42">
        <f t="shared" ca="1" si="54"/>
        <v>8277628.8136122711</v>
      </c>
      <c r="AP22" s="108">
        <f t="shared" si="55"/>
        <v>0.25</v>
      </c>
      <c r="AQ22" s="42">
        <f t="shared" si="56"/>
        <v>308131.40479001997</v>
      </c>
      <c r="AR22" s="42">
        <f t="shared" ca="1" si="57"/>
        <v>8585760.2184022907</v>
      </c>
      <c r="AS22" s="42">
        <f t="shared" ca="1" si="58"/>
        <v>6208221.6102092033</v>
      </c>
      <c r="AT22" s="42">
        <f t="shared" ca="1" si="59"/>
        <v>4966577.288167363</v>
      </c>
      <c r="AU22" s="406">
        <f t="shared" ca="1" si="23"/>
        <v>4966577.288167363</v>
      </c>
    </row>
    <row r="23" spans="1:47" ht="16" customHeight="1" x14ac:dyDescent="0.35">
      <c r="A23" s="110">
        <f t="shared" si="60"/>
        <v>0</v>
      </c>
      <c r="B23" s="124">
        <f t="shared" ref="B23:B45" si="61">+EOMONTH(B22,12)</f>
        <v>48944</v>
      </c>
      <c r="C23" s="117">
        <f>+IF(B23&gt;=H$9,'Taxes and TIF'!C22+1,'Taxes and TIF'!C22)</f>
        <v>11</v>
      </c>
      <c r="D23" s="42">
        <f t="shared" si="25"/>
        <v>7468945.3512561601</v>
      </c>
      <c r="E23" s="116">
        <f t="shared" ref="E23:E45" si="62">+E22*(1+IF($A23=0,$D$2,0))</f>
        <v>1.08243216</v>
      </c>
      <c r="F23" s="42">
        <f t="shared" ca="1" si="0"/>
        <v>295312825.61009991</v>
      </c>
      <c r="G23" s="108">
        <f t="shared" ref="G23:G45" si="63">+G22</f>
        <v>0.35</v>
      </c>
      <c r="H23" s="42">
        <f t="shared" ca="1" si="1"/>
        <v>103359488.96353497</v>
      </c>
      <c r="I23" s="49">
        <f t="shared" ref="I23:I45" si="64">+I22</f>
        <v>96.515600000000006</v>
      </c>
      <c r="J23" s="42">
        <f t="shared" ref="J23:J45" ca="1" si="65">+MAX(I23*H23/1000-L23,0)</f>
        <v>9723498.6833286639</v>
      </c>
      <c r="K23" s="108">
        <f t="shared" ref="K23:K45" si="66">+K22</f>
        <v>0.25</v>
      </c>
      <c r="L23" s="42">
        <f t="shared" si="2"/>
        <v>252304.40968029469</v>
      </c>
      <c r="M23" s="42">
        <f t="shared" ref="M23:M45" ca="1" si="67">+L23+J23</f>
        <v>9975803.0930089578</v>
      </c>
      <c r="N23" s="42">
        <f t="shared" ref="N23:N45" ca="1" si="68">+J23*(1-K23)</f>
        <v>7292624.0124964975</v>
      </c>
      <c r="O23" s="42">
        <f t="shared" ref="O23:O45" ca="1" si="69">+N23/$D$4</f>
        <v>5834099.2099971976</v>
      </c>
      <c r="P23" s="406">
        <f t="shared" ca="1" si="9"/>
        <v>5834099.2099971976</v>
      </c>
      <c r="R23" s="124">
        <f t="shared" ref="R23:R45" si="70">+EOMONTH(R22,12)</f>
        <v>49674</v>
      </c>
      <c r="S23" s="117">
        <f>+IF(R23&gt;=X$9,'Taxes and TIF'!S22+1,'Taxes and TIF'!S22)</f>
        <v>11</v>
      </c>
      <c r="T23" s="42">
        <f t="shared" ref="T23:T45" si="71">+T22</f>
        <v>818973.10714285716</v>
      </c>
      <c r="U23" s="116">
        <f t="shared" ref="U23:U45" si="72">+U22*(1+IF($A23=0,$D$2,0))</f>
        <v>1.08243216</v>
      </c>
      <c r="V23" s="42">
        <f t="shared" ref="V23:V45" ca="1" si="73">+IF(R23&gt;=X$9,AA$9,0)*U23</f>
        <v>169988646.35380903</v>
      </c>
      <c r="W23" s="108">
        <f t="shared" ref="W23:W45" si="74">+W22</f>
        <v>0.35</v>
      </c>
      <c r="X23" s="42">
        <f t="shared" ref="X23:X45" ca="1" si="75">+V23*W23</f>
        <v>59496026.223833159</v>
      </c>
      <c r="Y23" s="49">
        <f t="shared" ref="Y23:Y45" si="76">+Y22</f>
        <v>96.515600000000006</v>
      </c>
      <c r="Z23" s="42">
        <f t="shared" ref="Z23:Z45" ca="1" si="77">+MAX(Y23*X23/1000-AB23,0)</f>
        <v>5714629.3803220764</v>
      </c>
      <c r="AA23" s="108">
        <f t="shared" ref="AA23:AA45" si="78">+AA22</f>
        <v>0.25</v>
      </c>
      <c r="AB23" s="42">
        <f t="shared" ref="AB23:AB45" si="79">+T23*W23*Y23/1000</f>
        <v>27665.288286914998</v>
      </c>
      <c r="AC23" s="42">
        <f t="shared" ref="AC23:AC45" ca="1" si="80">+AB23+Z23</f>
        <v>5742294.6686089914</v>
      </c>
      <c r="AD23" s="42">
        <f t="shared" ref="AD23:AD45" ca="1" si="81">+Z23*(1-AA23)</f>
        <v>4285972.0352415573</v>
      </c>
      <c r="AE23" s="42">
        <f t="shared" ref="AE23:AE45" ca="1" si="82">+AD23/$D$4</f>
        <v>3428777.6281932457</v>
      </c>
      <c r="AF23" s="406">
        <f t="shared" ca="1" si="16"/>
        <v>3428777.6281932457</v>
      </c>
      <c r="AG23" s="124">
        <f t="shared" ref="AG23:AG45" si="83">+EOMONTH(AG22,12)</f>
        <v>50405</v>
      </c>
      <c r="AH23" s="117">
        <f>+IF(AG23&gt;=AM$9,'Taxes and TIF'!AH22+1,'Taxes and TIF'!AH22)</f>
        <v>11</v>
      </c>
      <c r="AI23" s="42">
        <f t="shared" ref="AI23:AI45" si="84">+AI22</f>
        <v>9121587</v>
      </c>
      <c r="AJ23" s="116">
        <f t="shared" ref="AJ23:AJ45" si="85">+AJ22*(1+IF($A23=0,$D$2,0))</f>
        <v>1.08243216</v>
      </c>
      <c r="AK23" s="42">
        <f t="shared" ref="AK23:AK45" ca="1" si="86">+IF(AG23&gt;=AM$9,AP$9,0)*AJ23</f>
        <v>259246778.24903321</v>
      </c>
      <c r="AL23" s="108">
        <f t="shared" ref="AL23:AL45" si="87">+AL22</f>
        <v>0.35</v>
      </c>
      <c r="AM23" s="42">
        <f t="shared" ref="AM23:AM45" ca="1" si="88">+AK23*AL23</f>
        <v>90736372.387161613</v>
      </c>
      <c r="AN23" s="49">
        <f t="shared" ref="AN23:AN45" si="89">+AN22</f>
        <v>96.515600000000006</v>
      </c>
      <c r="AO23" s="42">
        <f t="shared" ref="AO23:AO45" ca="1" si="90">+MAX(AN23*AM23/1000-AQ23,0)</f>
        <v>8449344.0179803167</v>
      </c>
      <c r="AP23" s="108">
        <f t="shared" ref="AP23:AP45" si="91">+AP22</f>
        <v>0.25</v>
      </c>
      <c r="AQ23" s="42">
        <f t="shared" ref="AQ23:AQ45" si="92">+AI23*AL23*AN23/1000</f>
        <v>308131.40479001997</v>
      </c>
      <c r="AR23" s="42">
        <f t="shared" ref="AR23:AR45" ca="1" si="93">+AQ23+AO23</f>
        <v>8757475.4227703363</v>
      </c>
      <c r="AS23" s="42">
        <f t="shared" ref="AS23:AS45" ca="1" si="94">+AO23*(1-AP23)</f>
        <v>6337008.013485238</v>
      </c>
      <c r="AT23" s="42">
        <f t="shared" ref="AT23:AT45" ca="1" si="95">+AS23/$D$4</f>
        <v>5069606.4107881906</v>
      </c>
      <c r="AU23" s="406">
        <f t="shared" ca="1" si="23"/>
        <v>5069606.4107881906</v>
      </c>
    </row>
    <row r="24" spans="1:47" ht="16" customHeight="1" x14ac:dyDescent="0.35">
      <c r="A24" s="110">
        <f t="shared" si="60"/>
        <v>1</v>
      </c>
      <c r="B24" s="124">
        <f t="shared" si="61"/>
        <v>49309</v>
      </c>
      <c r="C24" s="117">
        <f>+IF(B24&gt;=H$9,'Taxes and TIF'!C23+1,'Taxes and TIF'!C23)</f>
        <v>12</v>
      </c>
      <c r="D24" s="42">
        <f t="shared" si="25"/>
        <v>7468945.3512561601</v>
      </c>
      <c r="E24" s="116">
        <f t="shared" si="62"/>
        <v>1.08243216</v>
      </c>
      <c r="F24" s="42">
        <f t="shared" ca="1" si="0"/>
        <v>295312825.61009991</v>
      </c>
      <c r="G24" s="108">
        <f t="shared" si="63"/>
        <v>0.35</v>
      </c>
      <c r="H24" s="42">
        <f t="shared" ca="1" si="1"/>
        <v>103359488.96353497</v>
      </c>
      <c r="I24" s="49">
        <f t="shared" si="64"/>
        <v>96.515600000000006</v>
      </c>
      <c r="J24" s="42">
        <f t="shared" ca="1" si="65"/>
        <v>9723498.6833286639</v>
      </c>
      <c r="K24" s="108">
        <f t="shared" si="66"/>
        <v>0.25</v>
      </c>
      <c r="L24" s="42">
        <f t="shared" si="2"/>
        <v>252304.40968029469</v>
      </c>
      <c r="M24" s="42">
        <f t="shared" ca="1" si="67"/>
        <v>9975803.0930089578</v>
      </c>
      <c r="N24" s="42">
        <f t="shared" ca="1" si="68"/>
        <v>7292624.0124964975</v>
      </c>
      <c r="O24" s="42">
        <f t="shared" ca="1" si="69"/>
        <v>5834099.2099971976</v>
      </c>
      <c r="P24" s="406">
        <f t="shared" ca="1" si="9"/>
        <v>5834099.2099971976</v>
      </c>
      <c r="R24" s="124">
        <f t="shared" si="70"/>
        <v>50040</v>
      </c>
      <c r="S24" s="117">
        <f>+IF(R24&gt;=X$9,'Taxes and TIF'!S23+1,'Taxes and TIF'!S23)</f>
        <v>12</v>
      </c>
      <c r="T24" s="42">
        <f t="shared" si="71"/>
        <v>818973.10714285716</v>
      </c>
      <c r="U24" s="116">
        <f t="shared" si="72"/>
        <v>1.08243216</v>
      </c>
      <c r="V24" s="42">
        <f t="shared" ca="1" si="73"/>
        <v>169988646.35380903</v>
      </c>
      <c r="W24" s="108">
        <f t="shared" si="74"/>
        <v>0.35</v>
      </c>
      <c r="X24" s="42">
        <f t="shared" ca="1" si="75"/>
        <v>59496026.223833159</v>
      </c>
      <c r="Y24" s="49">
        <f t="shared" si="76"/>
        <v>96.515600000000006</v>
      </c>
      <c r="Z24" s="42">
        <f t="shared" ca="1" si="77"/>
        <v>5714629.3803220764</v>
      </c>
      <c r="AA24" s="108">
        <f t="shared" si="78"/>
        <v>0.25</v>
      </c>
      <c r="AB24" s="42">
        <f t="shared" si="79"/>
        <v>27665.288286914998</v>
      </c>
      <c r="AC24" s="42">
        <f t="shared" ca="1" si="80"/>
        <v>5742294.6686089914</v>
      </c>
      <c r="AD24" s="42">
        <f t="shared" ca="1" si="81"/>
        <v>4285972.0352415573</v>
      </c>
      <c r="AE24" s="42">
        <f t="shared" ca="1" si="82"/>
        <v>3428777.6281932457</v>
      </c>
      <c r="AF24" s="406">
        <f t="shared" ca="1" si="16"/>
        <v>3428777.6281932457</v>
      </c>
      <c r="AG24" s="124">
        <f t="shared" si="83"/>
        <v>50770</v>
      </c>
      <c r="AH24" s="117">
        <f>+IF(AG24&gt;=AM$9,'Taxes and TIF'!AH23+1,'Taxes and TIF'!AH23)</f>
        <v>12</v>
      </c>
      <c r="AI24" s="42">
        <f t="shared" si="84"/>
        <v>9121587</v>
      </c>
      <c r="AJ24" s="116">
        <f t="shared" si="85"/>
        <v>1.08243216</v>
      </c>
      <c r="AK24" s="42">
        <f t="shared" ca="1" si="86"/>
        <v>259246778.24903321</v>
      </c>
      <c r="AL24" s="108">
        <f t="shared" si="87"/>
        <v>0.35</v>
      </c>
      <c r="AM24" s="42">
        <f t="shared" ca="1" si="88"/>
        <v>90736372.387161613</v>
      </c>
      <c r="AN24" s="49">
        <f t="shared" si="89"/>
        <v>96.515600000000006</v>
      </c>
      <c r="AO24" s="42">
        <f t="shared" ca="1" si="90"/>
        <v>8449344.0179803167</v>
      </c>
      <c r="AP24" s="108">
        <f t="shared" si="91"/>
        <v>0.25</v>
      </c>
      <c r="AQ24" s="42">
        <f t="shared" si="92"/>
        <v>308131.40479001997</v>
      </c>
      <c r="AR24" s="42">
        <f t="shared" ca="1" si="93"/>
        <v>8757475.4227703363</v>
      </c>
      <c r="AS24" s="42">
        <f t="shared" ca="1" si="94"/>
        <v>6337008.013485238</v>
      </c>
      <c r="AT24" s="42">
        <f t="shared" ca="1" si="95"/>
        <v>5069606.4107881906</v>
      </c>
      <c r="AU24" s="406">
        <f t="shared" ca="1" si="23"/>
        <v>5069606.4107881906</v>
      </c>
    </row>
    <row r="25" spans="1:47" ht="16" customHeight="1" x14ac:dyDescent="0.35">
      <c r="A25" s="110">
        <f t="shared" si="60"/>
        <v>2</v>
      </c>
      <c r="B25" s="124">
        <f t="shared" si="61"/>
        <v>49674</v>
      </c>
      <c r="C25" s="117">
        <f>+IF(B25&gt;=H$9,'Taxes and TIF'!C24+1,'Taxes and TIF'!C24)</f>
        <v>13</v>
      </c>
      <c r="D25" s="42">
        <f t="shared" si="25"/>
        <v>7468945.3512561601</v>
      </c>
      <c r="E25" s="116">
        <f t="shared" si="62"/>
        <v>1.08243216</v>
      </c>
      <c r="F25" s="42">
        <f t="shared" ca="1" si="0"/>
        <v>295312825.61009991</v>
      </c>
      <c r="G25" s="108">
        <f t="shared" si="63"/>
        <v>0.35</v>
      </c>
      <c r="H25" s="42">
        <f t="shared" ca="1" si="1"/>
        <v>103359488.96353497</v>
      </c>
      <c r="I25" s="49">
        <f t="shared" si="64"/>
        <v>96.515600000000006</v>
      </c>
      <c r="J25" s="42">
        <f t="shared" ca="1" si="65"/>
        <v>9723498.6833286639</v>
      </c>
      <c r="K25" s="108">
        <f t="shared" si="66"/>
        <v>0.25</v>
      </c>
      <c r="L25" s="42">
        <f t="shared" si="2"/>
        <v>252304.40968029469</v>
      </c>
      <c r="M25" s="42">
        <f t="shared" ca="1" si="67"/>
        <v>9975803.0930089578</v>
      </c>
      <c r="N25" s="42">
        <f t="shared" ca="1" si="68"/>
        <v>7292624.0124964975</v>
      </c>
      <c r="O25" s="42">
        <f t="shared" ca="1" si="69"/>
        <v>5834099.2099971976</v>
      </c>
      <c r="P25" s="406">
        <f t="shared" ca="1" si="9"/>
        <v>5834099.2099971976</v>
      </c>
      <c r="R25" s="124">
        <f t="shared" si="70"/>
        <v>50405</v>
      </c>
      <c r="S25" s="117">
        <f>+IF(R25&gt;=X$9,'Taxes and TIF'!S24+1,'Taxes and TIF'!S24)</f>
        <v>13</v>
      </c>
      <c r="T25" s="42">
        <f t="shared" si="71"/>
        <v>818973.10714285716</v>
      </c>
      <c r="U25" s="116">
        <f t="shared" si="72"/>
        <v>1.08243216</v>
      </c>
      <c r="V25" s="42">
        <f t="shared" ca="1" si="73"/>
        <v>169988646.35380903</v>
      </c>
      <c r="W25" s="108">
        <f t="shared" si="74"/>
        <v>0.35</v>
      </c>
      <c r="X25" s="42">
        <f t="shared" ca="1" si="75"/>
        <v>59496026.223833159</v>
      </c>
      <c r="Y25" s="49">
        <f t="shared" si="76"/>
        <v>96.515600000000006</v>
      </c>
      <c r="Z25" s="42">
        <f t="shared" ca="1" si="77"/>
        <v>5714629.3803220764</v>
      </c>
      <c r="AA25" s="108">
        <f t="shared" si="78"/>
        <v>0.25</v>
      </c>
      <c r="AB25" s="42">
        <f t="shared" si="79"/>
        <v>27665.288286914998</v>
      </c>
      <c r="AC25" s="42">
        <f t="shared" ca="1" si="80"/>
        <v>5742294.6686089914</v>
      </c>
      <c r="AD25" s="42">
        <f t="shared" ca="1" si="81"/>
        <v>4285972.0352415573</v>
      </c>
      <c r="AE25" s="42">
        <f t="shared" ca="1" si="82"/>
        <v>3428777.6281932457</v>
      </c>
      <c r="AF25" s="406">
        <f t="shared" ca="1" si="16"/>
        <v>3428777.6281932457</v>
      </c>
      <c r="AG25" s="124">
        <f t="shared" si="83"/>
        <v>51135</v>
      </c>
      <c r="AH25" s="117">
        <f>+IF(AG25&gt;=AM$9,'Taxes and TIF'!AH24+1,'Taxes and TIF'!AH24)</f>
        <v>13</v>
      </c>
      <c r="AI25" s="42">
        <f t="shared" si="84"/>
        <v>9121587</v>
      </c>
      <c r="AJ25" s="116">
        <f t="shared" si="85"/>
        <v>1.08243216</v>
      </c>
      <c r="AK25" s="42">
        <f t="shared" ca="1" si="86"/>
        <v>259246778.24903321</v>
      </c>
      <c r="AL25" s="108">
        <f t="shared" si="87"/>
        <v>0.35</v>
      </c>
      <c r="AM25" s="42">
        <f t="shared" ca="1" si="88"/>
        <v>90736372.387161613</v>
      </c>
      <c r="AN25" s="49">
        <f t="shared" si="89"/>
        <v>96.515600000000006</v>
      </c>
      <c r="AO25" s="42">
        <f t="shared" ca="1" si="90"/>
        <v>8449344.0179803167</v>
      </c>
      <c r="AP25" s="108">
        <f t="shared" si="91"/>
        <v>0.25</v>
      </c>
      <c r="AQ25" s="42">
        <f t="shared" si="92"/>
        <v>308131.40479001997</v>
      </c>
      <c r="AR25" s="42">
        <f t="shared" ca="1" si="93"/>
        <v>8757475.4227703363</v>
      </c>
      <c r="AS25" s="42">
        <f t="shared" ca="1" si="94"/>
        <v>6337008.013485238</v>
      </c>
      <c r="AT25" s="42">
        <f t="shared" ca="1" si="95"/>
        <v>5069606.4107881906</v>
      </c>
      <c r="AU25" s="406">
        <f t="shared" ca="1" si="23"/>
        <v>5069606.4107881906</v>
      </c>
    </row>
    <row r="26" spans="1:47" ht="16" customHeight="1" x14ac:dyDescent="0.35">
      <c r="A26" s="110">
        <f t="shared" si="60"/>
        <v>0</v>
      </c>
      <c r="B26" s="124">
        <f t="shared" si="61"/>
        <v>50040</v>
      </c>
      <c r="C26" s="117">
        <f>+IF(B26&gt;=H$9,'Taxes and TIF'!C25+1,'Taxes and TIF'!C25)</f>
        <v>14</v>
      </c>
      <c r="D26" s="42">
        <f t="shared" si="25"/>
        <v>7618324.2582812831</v>
      </c>
      <c r="E26" s="116">
        <f t="shared" si="62"/>
        <v>1.1040808032</v>
      </c>
      <c r="F26" s="42">
        <f t="shared" ca="1" si="0"/>
        <v>301219082.12230194</v>
      </c>
      <c r="G26" s="108">
        <f t="shared" si="63"/>
        <v>0.35</v>
      </c>
      <c r="H26" s="42">
        <f t="shared" ca="1" si="1"/>
        <v>105426678.74280567</v>
      </c>
      <c r="I26" s="49">
        <f t="shared" si="64"/>
        <v>96.515600000000006</v>
      </c>
      <c r="J26" s="42">
        <f t="shared" ca="1" si="65"/>
        <v>9917968.6569952369</v>
      </c>
      <c r="K26" s="108">
        <f t="shared" si="66"/>
        <v>0.25</v>
      </c>
      <c r="L26" s="42">
        <f t="shared" si="2"/>
        <v>257350.49787390057</v>
      </c>
      <c r="M26" s="42">
        <f t="shared" ca="1" si="67"/>
        <v>10175319.154869137</v>
      </c>
      <c r="N26" s="42">
        <f t="shared" ca="1" si="68"/>
        <v>7438476.4927464277</v>
      </c>
      <c r="O26" s="42">
        <f t="shared" ca="1" si="69"/>
        <v>5950781.1941971425</v>
      </c>
      <c r="P26" s="406">
        <f t="shared" ca="1" si="9"/>
        <v>5950781.1941971425</v>
      </c>
      <c r="R26" s="124">
        <f t="shared" si="70"/>
        <v>50770</v>
      </c>
      <c r="S26" s="117">
        <f>+IF(R26&gt;=X$9,'Taxes and TIF'!S25+1,'Taxes and TIF'!S25)</f>
        <v>14</v>
      </c>
      <c r="T26" s="42">
        <f t="shared" si="71"/>
        <v>818973.10714285716</v>
      </c>
      <c r="U26" s="116">
        <f t="shared" si="72"/>
        <v>1.1040808032</v>
      </c>
      <c r="V26" s="42">
        <f t="shared" ca="1" si="73"/>
        <v>173388419.28088522</v>
      </c>
      <c r="W26" s="108">
        <f t="shared" si="74"/>
        <v>0.35</v>
      </c>
      <c r="X26" s="42">
        <f t="shared" ca="1" si="75"/>
        <v>60685946.748309821</v>
      </c>
      <c r="Y26" s="49">
        <f t="shared" si="76"/>
        <v>96.515600000000006</v>
      </c>
      <c r="Z26" s="42">
        <f t="shared" ca="1" si="77"/>
        <v>5829475.2736942563</v>
      </c>
      <c r="AA26" s="108">
        <f t="shared" si="78"/>
        <v>0.25</v>
      </c>
      <c r="AB26" s="42">
        <f t="shared" si="79"/>
        <v>27665.288286914998</v>
      </c>
      <c r="AC26" s="42">
        <f t="shared" ca="1" si="80"/>
        <v>5857140.5619811714</v>
      </c>
      <c r="AD26" s="42">
        <f t="shared" ca="1" si="81"/>
        <v>4372106.4552706927</v>
      </c>
      <c r="AE26" s="42">
        <f t="shared" ca="1" si="82"/>
        <v>3497685.1642165543</v>
      </c>
      <c r="AF26" s="406">
        <f t="shared" ca="1" si="16"/>
        <v>3497685.1642165543</v>
      </c>
      <c r="AG26" s="124">
        <f t="shared" si="83"/>
        <v>51501</v>
      </c>
      <c r="AH26" s="117">
        <f>+IF(AG26&gt;=AM$9,'Taxes and TIF'!AH25+1,'Taxes and TIF'!AH25)</f>
        <v>14</v>
      </c>
      <c r="AI26" s="42">
        <f t="shared" si="84"/>
        <v>9121587</v>
      </c>
      <c r="AJ26" s="116">
        <f t="shared" si="85"/>
        <v>1.1040808032</v>
      </c>
      <c r="AK26" s="42">
        <f t="shared" ca="1" si="86"/>
        <v>264431713.8140139</v>
      </c>
      <c r="AL26" s="108">
        <f t="shared" si="87"/>
        <v>0.35</v>
      </c>
      <c r="AM26" s="42">
        <f t="shared" ca="1" si="88"/>
        <v>92551099.834904864</v>
      </c>
      <c r="AN26" s="49">
        <f t="shared" si="89"/>
        <v>96.515600000000006</v>
      </c>
      <c r="AO26" s="42">
        <f t="shared" ca="1" si="90"/>
        <v>8624493.5264357254</v>
      </c>
      <c r="AP26" s="108">
        <f t="shared" si="91"/>
        <v>0.25</v>
      </c>
      <c r="AQ26" s="42">
        <f t="shared" si="92"/>
        <v>308131.40479001997</v>
      </c>
      <c r="AR26" s="42">
        <f t="shared" ca="1" si="93"/>
        <v>8932624.931225745</v>
      </c>
      <c r="AS26" s="42">
        <f t="shared" ca="1" si="94"/>
        <v>6468370.144826794</v>
      </c>
      <c r="AT26" s="42">
        <f t="shared" ca="1" si="95"/>
        <v>5174696.1158614354</v>
      </c>
      <c r="AU26" s="406">
        <f t="shared" ca="1" si="23"/>
        <v>5174696.1158614354</v>
      </c>
    </row>
    <row r="27" spans="1:47" ht="16" customHeight="1" x14ac:dyDescent="0.35">
      <c r="A27" s="110">
        <f t="shared" si="60"/>
        <v>1</v>
      </c>
      <c r="B27" s="124">
        <f t="shared" si="61"/>
        <v>50405</v>
      </c>
      <c r="C27" s="117">
        <f>+IF(B27&gt;=H$9,'Taxes and TIF'!C26+1,'Taxes and TIF'!C26)</f>
        <v>15</v>
      </c>
      <c r="D27" s="42">
        <f t="shared" si="25"/>
        <v>7618324.2582812831</v>
      </c>
      <c r="E27" s="116">
        <f t="shared" si="62"/>
        <v>1.1040808032</v>
      </c>
      <c r="F27" s="42">
        <f t="shared" ca="1" si="0"/>
        <v>301219082.12230194</v>
      </c>
      <c r="G27" s="108">
        <f t="shared" si="63"/>
        <v>0.35</v>
      </c>
      <c r="H27" s="42">
        <f t="shared" ca="1" si="1"/>
        <v>105426678.74280567</v>
      </c>
      <c r="I27" s="49">
        <f t="shared" si="64"/>
        <v>96.515600000000006</v>
      </c>
      <c r="J27" s="42">
        <f t="shared" ca="1" si="65"/>
        <v>9917968.6569952369</v>
      </c>
      <c r="K27" s="108">
        <f t="shared" si="66"/>
        <v>0.25</v>
      </c>
      <c r="L27" s="42">
        <f t="shared" si="2"/>
        <v>257350.49787390057</v>
      </c>
      <c r="M27" s="42">
        <f t="shared" ca="1" si="67"/>
        <v>10175319.154869137</v>
      </c>
      <c r="N27" s="42">
        <f t="shared" ca="1" si="68"/>
        <v>7438476.4927464277</v>
      </c>
      <c r="O27" s="42">
        <f t="shared" ca="1" si="69"/>
        <v>5950781.1941971425</v>
      </c>
      <c r="P27" s="406">
        <f t="shared" ca="1" si="9"/>
        <v>5950781.1941971425</v>
      </c>
      <c r="R27" s="124">
        <f t="shared" si="70"/>
        <v>51135</v>
      </c>
      <c r="S27" s="117">
        <f>+IF(R27&gt;=X$9,'Taxes and TIF'!S26+1,'Taxes and TIF'!S26)</f>
        <v>15</v>
      </c>
      <c r="T27" s="42">
        <f t="shared" si="71"/>
        <v>818973.10714285716</v>
      </c>
      <c r="U27" s="116">
        <f t="shared" si="72"/>
        <v>1.1040808032</v>
      </c>
      <c r="V27" s="42">
        <f t="shared" ca="1" si="73"/>
        <v>173388419.28088522</v>
      </c>
      <c r="W27" s="108">
        <f t="shared" si="74"/>
        <v>0.35</v>
      </c>
      <c r="X27" s="42">
        <f t="shared" ca="1" si="75"/>
        <v>60685946.748309821</v>
      </c>
      <c r="Y27" s="49">
        <f t="shared" si="76"/>
        <v>96.515600000000006</v>
      </c>
      <c r="Z27" s="42">
        <f t="shared" ca="1" si="77"/>
        <v>5829475.2736942563</v>
      </c>
      <c r="AA27" s="108">
        <f t="shared" si="78"/>
        <v>0.25</v>
      </c>
      <c r="AB27" s="42">
        <f t="shared" si="79"/>
        <v>27665.288286914998</v>
      </c>
      <c r="AC27" s="42">
        <f t="shared" ca="1" si="80"/>
        <v>5857140.5619811714</v>
      </c>
      <c r="AD27" s="42">
        <f t="shared" ca="1" si="81"/>
        <v>4372106.4552706927</v>
      </c>
      <c r="AE27" s="42">
        <f t="shared" ca="1" si="82"/>
        <v>3497685.1642165543</v>
      </c>
      <c r="AF27" s="406">
        <f t="shared" ca="1" si="16"/>
        <v>3497685.1642165543</v>
      </c>
      <c r="AG27" s="124">
        <f t="shared" si="83"/>
        <v>51866</v>
      </c>
      <c r="AH27" s="117">
        <f>+IF(AG27&gt;=AM$9,'Taxes and TIF'!AH26+1,'Taxes and TIF'!AH26)</f>
        <v>15</v>
      </c>
      <c r="AI27" s="42">
        <f t="shared" si="84"/>
        <v>9121587</v>
      </c>
      <c r="AJ27" s="116">
        <f t="shared" si="85"/>
        <v>1.1040808032</v>
      </c>
      <c r="AK27" s="42">
        <f t="shared" ca="1" si="86"/>
        <v>264431713.8140139</v>
      </c>
      <c r="AL27" s="108">
        <f t="shared" si="87"/>
        <v>0.35</v>
      </c>
      <c r="AM27" s="42">
        <f t="shared" ca="1" si="88"/>
        <v>92551099.834904864</v>
      </c>
      <c r="AN27" s="49">
        <f t="shared" si="89"/>
        <v>96.515600000000006</v>
      </c>
      <c r="AO27" s="42">
        <f t="shared" ca="1" si="90"/>
        <v>8624493.5264357254</v>
      </c>
      <c r="AP27" s="108">
        <f t="shared" si="91"/>
        <v>0.25</v>
      </c>
      <c r="AQ27" s="42">
        <f t="shared" si="92"/>
        <v>308131.40479001997</v>
      </c>
      <c r="AR27" s="42">
        <f t="shared" ca="1" si="93"/>
        <v>8932624.931225745</v>
      </c>
      <c r="AS27" s="42">
        <f t="shared" ca="1" si="94"/>
        <v>6468370.144826794</v>
      </c>
      <c r="AT27" s="42">
        <f t="shared" ca="1" si="95"/>
        <v>5174696.1158614354</v>
      </c>
      <c r="AU27" s="406">
        <f t="shared" ca="1" si="23"/>
        <v>5174696.1158614354</v>
      </c>
    </row>
    <row r="28" spans="1:47" ht="16" customHeight="1" x14ac:dyDescent="0.35">
      <c r="A28" s="110">
        <f t="shared" si="60"/>
        <v>2</v>
      </c>
      <c r="B28" s="124">
        <f t="shared" si="61"/>
        <v>50770</v>
      </c>
      <c r="C28" s="117">
        <f>+IF(B28&gt;=H$9,'Taxes and TIF'!C27+1,'Taxes and TIF'!C27)</f>
        <v>16</v>
      </c>
      <c r="D28" s="42">
        <f t="shared" si="25"/>
        <v>7618324.2582812831</v>
      </c>
      <c r="E28" s="116">
        <f t="shared" si="62"/>
        <v>1.1040808032</v>
      </c>
      <c r="F28" s="42">
        <f t="shared" ca="1" si="0"/>
        <v>301219082.12230194</v>
      </c>
      <c r="G28" s="108">
        <f t="shared" si="63"/>
        <v>0.35</v>
      </c>
      <c r="H28" s="42">
        <f t="shared" ca="1" si="1"/>
        <v>105426678.74280567</v>
      </c>
      <c r="I28" s="49">
        <f t="shared" si="64"/>
        <v>96.515600000000006</v>
      </c>
      <c r="J28" s="42">
        <f t="shared" ca="1" si="65"/>
        <v>9917968.6569952369</v>
      </c>
      <c r="K28" s="108">
        <f t="shared" si="66"/>
        <v>0.25</v>
      </c>
      <c r="L28" s="42">
        <f t="shared" si="2"/>
        <v>257350.49787390057</v>
      </c>
      <c r="M28" s="42">
        <f t="shared" ca="1" si="67"/>
        <v>10175319.154869137</v>
      </c>
      <c r="N28" s="42">
        <f t="shared" ca="1" si="68"/>
        <v>7438476.4927464277</v>
      </c>
      <c r="O28" s="42">
        <f t="shared" ca="1" si="69"/>
        <v>5950781.1941971425</v>
      </c>
      <c r="P28" s="406">
        <f t="shared" ca="1" si="9"/>
        <v>5950781.1941971425</v>
      </c>
      <c r="R28" s="124">
        <f t="shared" si="70"/>
        <v>51501</v>
      </c>
      <c r="S28" s="117">
        <f>+IF(R28&gt;=X$9,'Taxes and TIF'!S27+1,'Taxes and TIF'!S27)</f>
        <v>16</v>
      </c>
      <c r="T28" s="42">
        <f t="shared" si="71"/>
        <v>818973.10714285716</v>
      </c>
      <c r="U28" s="116">
        <f t="shared" si="72"/>
        <v>1.1040808032</v>
      </c>
      <c r="V28" s="42">
        <f t="shared" ca="1" si="73"/>
        <v>173388419.28088522</v>
      </c>
      <c r="W28" s="108">
        <f t="shared" si="74"/>
        <v>0.35</v>
      </c>
      <c r="X28" s="42">
        <f t="shared" ca="1" si="75"/>
        <v>60685946.748309821</v>
      </c>
      <c r="Y28" s="49">
        <f t="shared" si="76"/>
        <v>96.515600000000006</v>
      </c>
      <c r="Z28" s="42">
        <f t="shared" ca="1" si="77"/>
        <v>5829475.2736942563</v>
      </c>
      <c r="AA28" s="108">
        <f t="shared" si="78"/>
        <v>0.25</v>
      </c>
      <c r="AB28" s="42">
        <f t="shared" si="79"/>
        <v>27665.288286914998</v>
      </c>
      <c r="AC28" s="42">
        <f t="shared" ca="1" si="80"/>
        <v>5857140.5619811714</v>
      </c>
      <c r="AD28" s="42">
        <f t="shared" ca="1" si="81"/>
        <v>4372106.4552706927</v>
      </c>
      <c r="AE28" s="42">
        <f t="shared" ca="1" si="82"/>
        <v>3497685.1642165543</v>
      </c>
      <c r="AF28" s="406">
        <f t="shared" ca="1" si="16"/>
        <v>3497685.1642165543</v>
      </c>
      <c r="AG28" s="124">
        <f t="shared" si="83"/>
        <v>52231</v>
      </c>
      <c r="AH28" s="117">
        <f>+IF(AG28&gt;=AM$9,'Taxes and TIF'!AH27+1,'Taxes and TIF'!AH27)</f>
        <v>16</v>
      </c>
      <c r="AI28" s="42">
        <f t="shared" si="84"/>
        <v>9121587</v>
      </c>
      <c r="AJ28" s="116">
        <f t="shared" si="85"/>
        <v>1.1040808032</v>
      </c>
      <c r="AK28" s="42">
        <f t="shared" ca="1" si="86"/>
        <v>264431713.8140139</v>
      </c>
      <c r="AL28" s="108">
        <f t="shared" si="87"/>
        <v>0.35</v>
      </c>
      <c r="AM28" s="42">
        <f t="shared" ca="1" si="88"/>
        <v>92551099.834904864</v>
      </c>
      <c r="AN28" s="49">
        <f t="shared" si="89"/>
        <v>96.515600000000006</v>
      </c>
      <c r="AO28" s="42">
        <f t="shared" ca="1" si="90"/>
        <v>8624493.5264357254</v>
      </c>
      <c r="AP28" s="108">
        <f t="shared" si="91"/>
        <v>0.25</v>
      </c>
      <c r="AQ28" s="42">
        <f t="shared" si="92"/>
        <v>308131.40479001997</v>
      </c>
      <c r="AR28" s="42">
        <f t="shared" ca="1" si="93"/>
        <v>8932624.931225745</v>
      </c>
      <c r="AS28" s="42">
        <f t="shared" ca="1" si="94"/>
        <v>6468370.144826794</v>
      </c>
      <c r="AT28" s="42">
        <f t="shared" ca="1" si="95"/>
        <v>5174696.1158614354</v>
      </c>
      <c r="AU28" s="406">
        <f t="shared" ca="1" si="23"/>
        <v>5174696.1158614354</v>
      </c>
    </row>
    <row r="29" spans="1:47" ht="16" customHeight="1" x14ac:dyDescent="0.35">
      <c r="A29" s="110">
        <f t="shared" si="60"/>
        <v>0</v>
      </c>
      <c r="B29" s="124">
        <f t="shared" si="61"/>
        <v>51135</v>
      </c>
      <c r="C29" s="117">
        <f>+IF(B29&gt;=H$9,'Taxes and TIF'!C28+1,'Taxes and TIF'!C28)</f>
        <v>17</v>
      </c>
      <c r="D29" s="42">
        <f t="shared" si="25"/>
        <v>7770690.7434469089</v>
      </c>
      <c r="E29" s="116">
        <f t="shared" si="62"/>
        <v>1.1261624192640001</v>
      </c>
      <c r="F29" s="42">
        <f t="shared" ca="1" si="0"/>
        <v>307243463.76474798</v>
      </c>
      <c r="G29" s="108">
        <f t="shared" si="63"/>
        <v>0.35</v>
      </c>
      <c r="H29" s="42">
        <f t="shared" ca="1" si="1"/>
        <v>107535212.31766179</v>
      </c>
      <c r="I29" s="49">
        <f t="shared" si="64"/>
        <v>96.515600000000006</v>
      </c>
      <c r="J29" s="42">
        <f t="shared" ca="1" si="65"/>
        <v>10116328.03013514</v>
      </c>
      <c r="K29" s="108">
        <f t="shared" si="66"/>
        <v>0.25</v>
      </c>
      <c r="L29" s="42">
        <f t="shared" si="2"/>
        <v>262497.50783137861</v>
      </c>
      <c r="M29" s="42">
        <f t="shared" ca="1" si="67"/>
        <v>10378825.537966518</v>
      </c>
      <c r="N29" s="42">
        <f t="shared" ca="1" si="68"/>
        <v>7587246.0226013549</v>
      </c>
      <c r="O29" s="42">
        <f t="shared" ca="1" si="69"/>
        <v>6069796.8180810837</v>
      </c>
      <c r="P29" s="406">
        <f t="shared" ca="1" si="9"/>
        <v>6069796.8180810837</v>
      </c>
      <c r="R29" s="124">
        <f t="shared" si="70"/>
        <v>51866</v>
      </c>
      <c r="S29" s="117">
        <f>+IF(R29&gt;=X$9,'Taxes and TIF'!S28+1,'Taxes and TIF'!S28)</f>
        <v>17</v>
      </c>
      <c r="T29" s="42">
        <f t="shared" si="71"/>
        <v>818973.10714285716</v>
      </c>
      <c r="U29" s="116">
        <f t="shared" si="72"/>
        <v>1.1261624192640001</v>
      </c>
      <c r="V29" s="42">
        <f t="shared" ca="1" si="73"/>
        <v>176856187.66650292</v>
      </c>
      <c r="W29" s="108">
        <f t="shared" si="74"/>
        <v>0.35</v>
      </c>
      <c r="X29" s="42">
        <f t="shared" ca="1" si="75"/>
        <v>61899665.68327602</v>
      </c>
      <c r="Y29" s="49">
        <f t="shared" si="76"/>
        <v>96.515600000000006</v>
      </c>
      <c r="Z29" s="42">
        <f t="shared" ca="1" si="77"/>
        <v>5946618.0849338807</v>
      </c>
      <c r="AA29" s="108">
        <f t="shared" si="78"/>
        <v>0.25</v>
      </c>
      <c r="AB29" s="42">
        <f t="shared" si="79"/>
        <v>27665.288286914998</v>
      </c>
      <c r="AC29" s="42">
        <f t="shared" ca="1" si="80"/>
        <v>5974283.3732207958</v>
      </c>
      <c r="AD29" s="42">
        <f t="shared" ca="1" si="81"/>
        <v>4459963.5637004105</v>
      </c>
      <c r="AE29" s="42">
        <f t="shared" ca="1" si="82"/>
        <v>3567970.8509603282</v>
      </c>
      <c r="AF29" s="406">
        <f t="shared" ca="1" si="16"/>
        <v>3567970.8509603282</v>
      </c>
      <c r="AG29" s="124">
        <f t="shared" si="83"/>
        <v>52596</v>
      </c>
      <c r="AH29" s="117">
        <f>+IF(AG29&gt;=AM$9,'Taxes and TIF'!AH28+1,'Taxes and TIF'!AH28)</f>
        <v>17</v>
      </c>
      <c r="AI29" s="42">
        <f t="shared" si="84"/>
        <v>9121587</v>
      </c>
      <c r="AJ29" s="116">
        <f t="shared" si="85"/>
        <v>1.1261624192640001</v>
      </c>
      <c r="AK29" s="42">
        <f t="shared" ca="1" si="86"/>
        <v>269720348.09029418</v>
      </c>
      <c r="AL29" s="108">
        <f t="shared" si="87"/>
        <v>0.35</v>
      </c>
      <c r="AM29" s="42">
        <f t="shared" ca="1" si="88"/>
        <v>94402121.831602961</v>
      </c>
      <c r="AN29" s="49">
        <f t="shared" si="89"/>
        <v>96.515600000000006</v>
      </c>
      <c r="AO29" s="42">
        <f t="shared" ca="1" si="90"/>
        <v>8803146.0250602402</v>
      </c>
      <c r="AP29" s="108">
        <f t="shared" si="91"/>
        <v>0.25</v>
      </c>
      <c r="AQ29" s="42">
        <f t="shared" si="92"/>
        <v>308131.40479001997</v>
      </c>
      <c r="AR29" s="42">
        <f t="shared" ca="1" si="93"/>
        <v>9111277.4298502598</v>
      </c>
      <c r="AS29" s="42">
        <f t="shared" ca="1" si="94"/>
        <v>6602359.5187951801</v>
      </c>
      <c r="AT29" s="42">
        <f t="shared" ca="1" si="95"/>
        <v>5281887.6150361439</v>
      </c>
      <c r="AU29" s="406">
        <f t="shared" ca="1" si="23"/>
        <v>5281887.6150361439</v>
      </c>
    </row>
    <row r="30" spans="1:47" ht="16" customHeight="1" x14ac:dyDescent="0.35">
      <c r="A30" s="110">
        <f t="shared" si="60"/>
        <v>1</v>
      </c>
      <c r="B30" s="124">
        <f t="shared" si="61"/>
        <v>51501</v>
      </c>
      <c r="C30" s="117">
        <f>+IF(B30&gt;=H$9,'Taxes and TIF'!C29+1,'Taxes and TIF'!C29)</f>
        <v>18</v>
      </c>
      <c r="D30" s="42">
        <f t="shared" si="25"/>
        <v>7770690.7434469089</v>
      </c>
      <c r="E30" s="116">
        <f t="shared" si="62"/>
        <v>1.1261624192640001</v>
      </c>
      <c r="F30" s="42">
        <f t="shared" ca="1" si="0"/>
        <v>307243463.76474798</v>
      </c>
      <c r="G30" s="108">
        <f t="shared" si="63"/>
        <v>0.35</v>
      </c>
      <c r="H30" s="42">
        <f t="shared" ca="1" si="1"/>
        <v>107535212.31766179</v>
      </c>
      <c r="I30" s="49">
        <f t="shared" si="64"/>
        <v>96.515600000000006</v>
      </c>
      <c r="J30" s="42">
        <f t="shared" ca="1" si="65"/>
        <v>10116328.03013514</v>
      </c>
      <c r="K30" s="108">
        <f t="shared" si="66"/>
        <v>0.25</v>
      </c>
      <c r="L30" s="42">
        <f t="shared" si="2"/>
        <v>262497.50783137861</v>
      </c>
      <c r="M30" s="42">
        <f t="shared" ca="1" si="67"/>
        <v>10378825.537966518</v>
      </c>
      <c r="N30" s="42">
        <f t="shared" ca="1" si="68"/>
        <v>7587246.0226013549</v>
      </c>
      <c r="O30" s="42">
        <f t="shared" ca="1" si="69"/>
        <v>6069796.8180810837</v>
      </c>
      <c r="P30" s="406">
        <f t="shared" ca="1" si="9"/>
        <v>6069796.8180810837</v>
      </c>
      <c r="R30" s="124">
        <f t="shared" si="70"/>
        <v>52231</v>
      </c>
      <c r="S30" s="117">
        <f>+IF(R30&gt;=X$9,'Taxes and TIF'!S29+1,'Taxes and TIF'!S29)</f>
        <v>18</v>
      </c>
      <c r="T30" s="42">
        <f t="shared" si="71"/>
        <v>818973.10714285716</v>
      </c>
      <c r="U30" s="116">
        <f t="shared" si="72"/>
        <v>1.1261624192640001</v>
      </c>
      <c r="V30" s="42">
        <f t="shared" ca="1" si="73"/>
        <v>176856187.66650292</v>
      </c>
      <c r="W30" s="108">
        <f t="shared" si="74"/>
        <v>0.35</v>
      </c>
      <c r="X30" s="42">
        <f t="shared" ca="1" si="75"/>
        <v>61899665.68327602</v>
      </c>
      <c r="Y30" s="49">
        <f t="shared" si="76"/>
        <v>96.515600000000006</v>
      </c>
      <c r="Z30" s="42">
        <f t="shared" ca="1" si="77"/>
        <v>5946618.0849338807</v>
      </c>
      <c r="AA30" s="108">
        <f t="shared" si="78"/>
        <v>0.25</v>
      </c>
      <c r="AB30" s="42">
        <f t="shared" si="79"/>
        <v>27665.288286914998</v>
      </c>
      <c r="AC30" s="42">
        <f t="shared" ca="1" si="80"/>
        <v>5974283.3732207958</v>
      </c>
      <c r="AD30" s="42">
        <f t="shared" ca="1" si="81"/>
        <v>4459963.5637004105</v>
      </c>
      <c r="AE30" s="42">
        <f t="shared" ca="1" si="82"/>
        <v>3567970.8509603282</v>
      </c>
      <c r="AF30" s="406">
        <f t="shared" ca="1" si="16"/>
        <v>3567970.8509603282</v>
      </c>
      <c r="AG30" s="124">
        <f t="shared" si="83"/>
        <v>52962</v>
      </c>
      <c r="AH30" s="117">
        <f>+IF(AG30&gt;=AM$9,'Taxes and TIF'!AH29+1,'Taxes and TIF'!AH29)</f>
        <v>18</v>
      </c>
      <c r="AI30" s="42">
        <f t="shared" si="84"/>
        <v>9121587</v>
      </c>
      <c r="AJ30" s="116">
        <f t="shared" si="85"/>
        <v>1.1261624192640001</v>
      </c>
      <c r="AK30" s="42">
        <f t="shared" ca="1" si="86"/>
        <v>269720348.09029418</v>
      </c>
      <c r="AL30" s="108">
        <f t="shared" si="87"/>
        <v>0.35</v>
      </c>
      <c r="AM30" s="42">
        <f t="shared" ca="1" si="88"/>
        <v>94402121.831602961</v>
      </c>
      <c r="AN30" s="49">
        <f t="shared" si="89"/>
        <v>96.515600000000006</v>
      </c>
      <c r="AO30" s="42">
        <f t="shared" ca="1" si="90"/>
        <v>8803146.0250602402</v>
      </c>
      <c r="AP30" s="108">
        <f t="shared" si="91"/>
        <v>0.25</v>
      </c>
      <c r="AQ30" s="42">
        <f t="shared" si="92"/>
        <v>308131.40479001997</v>
      </c>
      <c r="AR30" s="42">
        <f t="shared" ca="1" si="93"/>
        <v>9111277.4298502598</v>
      </c>
      <c r="AS30" s="42">
        <f t="shared" ca="1" si="94"/>
        <v>6602359.5187951801</v>
      </c>
      <c r="AT30" s="42">
        <f t="shared" ca="1" si="95"/>
        <v>5281887.6150361439</v>
      </c>
      <c r="AU30" s="406">
        <f t="shared" ca="1" si="23"/>
        <v>5281887.6150361439</v>
      </c>
    </row>
    <row r="31" spans="1:47" ht="16" customHeight="1" x14ac:dyDescent="0.35">
      <c r="A31" s="110">
        <f t="shared" si="60"/>
        <v>2</v>
      </c>
      <c r="B31" s="124">
        <f t="shared" si="61"/>
        <v>51866</v>
      </c>
      <c r="C31" s="117">
        <f>+IF(B31&gt;=H$9,'Taxes and TIF'!C30+1,'Taxes and TIF'!C30)</f>
        <v>19</v>
      </c>
      <c r="D31" s="42">
        <f t="shared" si="25"/>
        <v>7770690.7434469089</v>
      </c>
      <c r="E31" s="116">
        <f t="shared" si="62"/>
        <v>1.1261624192640001</v>
      </c>
      <c r="F31" s="42">
        <f t="shared" ca="1" si="0"/>
        <v>307243463.76474798</v>
      </c>
      <c r="G31" s="108">
        <f t="shared" si="63"/>
        <v>0.35</v>
      </c>
      <c r="H31" s="42">
        <f t="shared" ca="1" si="1"/>
        <v>107535212.31766179</v>
      </c>
      <c r="I31" s="49">
        <f t="shared" si="64"/>
        <v>96.515600000000006</v>
      </c>
      <c r="J31" s="42">
        <f t="shared" ca="1" si="65"/>
        <v>10116328.03013514</v>
      </c>
      <c r="K31" s="108">
        <f t="shared" si="66"/>
        <v>0.25</v>
      </c>
      <c r="L31" s="42">
        <f t="shared" si="2"/>
        <v>262497.50783137861</v>
      </c>
      <c r="M31" s="42">
        <f t="shared" ca="1" si="67"/>
        <v>10378825.537966518</v>
      </c>
      <c r="N31" s="42">
        <f t="shared" ca="1" si="68"/>
        <v>7587246.0226013549</v>
      </c>
      <c r="O31" s="42">
        <f t="shared" ca="1" si="69"/>
        <v>6069796.8180810837</v>
      </c>
      <c r="P31" s="406">
        <f t="shared" ca="1" si="9"/>
        <v>6069796.8180810837</v>
      </c>
      <c r="R31" s="124">
        <f t="shared" si="70"/>
        <v>52596</v>
      </c>
      <c r="S31" s="117">
        <f>+IF(R31&gt;=X$9,'Taxes and TIF'!S30+1,'Taxes and TIF'!S30)</f>
        <v>19</v>
      </c>
      <c r="T31" s="42">
        <f t="shared" si="71"/>
        <v>818973.10714285716</v>
      </c>
      <c r="U31" s="116">
        <f t="shared" si="72"/>
        <v>1.1261624192640001</v>
      </c>
      <c r="V31" s="42">
        <f t="shared" ca="1" si="73"/>
        <v>176856187.66650292</v>
      </c>
      <c r="W31" s="108">
        <f t="shared" si="74"/>
        <v>0.35</v>
      </c>
      <c r="X31" s="42">
        <f t="shared" ca="1" si="75"/>
        <v>61899665.68327602</v>
      </c>
      <c r="Y31" s="49">
        <f t="shared" si="76"/>
        <v>96.515600000000006</v>
      </c>
      <c r="Z31" s="42">
        <f t="shared" ca="1" si="77"/>
        <v>5946618.0849338807</v>
      </c>
      <c r="AA31" s="108">
        <f t="shared" si="78"/>
        <v>0.25</v>
      </c>
      <c r="AB31" s="42">
        <f t="shared" si="79"/>
        <v>27665.288286914998</v>
      </c>
      <c r="AC31" s="42">
        <f t="shared" ca="1" si="80"/>
        <v>5974283.3732207958</v>
      </c>
      <c r="AD31" s="42">
        <f t="shared" ca="1" si="81"/>
        <v>4459963.5637004105</v>
      </c>
      <c r="AE31" s="42">
        <f t="shared" ca="1" si="82"/>
        <v>3567970.8509603282</v>
      </c>
      <c r="AF31" s="406">
        <f t="shared" ca="1" si="16"/>
        <v>3567970.8509603282</v>
      </c>
      <c r="AG31" s="124">
        <f t="shared" si="83"/>
        <v>53327</v>
      </c>
      <c r="AH31" s="117">
        <f>+IF(AG31&gt;=AM$9,'Taxes and TIF'!AH30+1,'Taxes and TIF'!AH30)</f>
        <v>19</v>
      </c>
      <c r="AI31" s="42">
        <f t="shared" si="84"/>
        <v>9121587</v>
      </c>
      <c r="AJ31" s="116">
        <f t="shared" si="85"/>
        <v>1.1261624192640001</v>
      </c>
      <c r="AK31" s="42">
        <f t="shared" ca="1" si="86"/>
        <v>269720348.09029418</v>
      </c>
      <c r="AL31" s="108">
        <f t="shared" si="87"/>
        <v>0.35</v>
      </c>
      <c r="AM31" s="42">
        <f t="shared" ca="1" si="88"/>
        <v>94402121.831602961</v>
      </c>
      <c r="AN31" s="49">
        <f t="shared" si="89"/>
        <v>96.515600000000006</v>
      </c>
      <c r="AO31" s="42">
        <f t="shared" ca="1" si="90"/>
        <v>8803146.0250602402</v>
      </c>
      <c r="AP31" s="108">
        <f t="shared" si="91"/>
        <v>0.25</v>
      </c>
      <c r="AQ31" s="42">
        <f t="shared" si="92"/>
        <v>308131.40479001997</v>
      </c>
      <c r="AR31" s="42">
        <f t="shared" ca="1" si="93"/>
        <v>9111277.4298502598</v>
      </c>
      <c r="AS31" s="42">
        <f t="shared" ca="1" si="94"/>
        <v>6602359.5187951801</v>
      </c>
      <c r="AT31" s="42">
        <f t="shared" ca="1" si="95"/>
        <v>5281887.6150361439</v>
      </c>
      <c r="AU31" s="406">
        <f t="shared" ca="1" si="23"/>
        <v>5281887.6150361439</v>
      </c>
    </row>
    <row r="32" spans="1:47" ht="16" customHeight="1" x14ac:dyDescent="0.35">
      <c r="A32" s="110">
        <f t="shared" si="60"/>
        <v>0</v>
      </c>
      <c r="B32" s="124">
        <f t="shared" si="61"/>
        <v>52231</v>
      </c>
      <c r="C32" s="117">
        <f>+IF(B32&gt;=H$9,'Taxes and TIF'!C31+1,'Taxes and TIF'!C31)</f>
        <v>20</v>
      </c>
      <c r="D32" s="42">
        <f t="shared" si="25"/>
        <v>7926104.5583158471</v>
      </c>
      <c r="E32" s="116">
        <f t="shared" si="62"/>
        <v>1.14868566764928</v>
      </c>
      <c r="F32" s="42">
        <f t="shared" ca="1" si="0"/>
        <v>313388333.04004294</v>
      </c>
      <c r="G32" s="108">
        <f t="shared" si="63"/>
        <v>0.35</v>
      </c>
      <c r="H32" s="42">
        <f t="shared" ca="1" si="1"/>
        <v>109685916.56401502</v>
      </c>
      <c r="I32" s="49">
        <f t="shared" si="64"/>
        <v>96.515600000000006</v>
      </c>
      <c r="J32" s="42">
        <f t="shared" ca="1" si="65"/>
        <v>10318654.590737842</v>
      </c>
      <c r="K32" s="108">
        <f t="shared" si="66"/>
        <v>0.25</v>
      </c>
      <c r="L32" s="42">
        <f t="shared" si="2"/>
        <v>267747.45798800612</v>
      </c>
      <c r="M32" s="42">
        <f t="shared" ca="1" si="67"/>
        <v>10586402.048725849</v>
      </c>
      <c r="N32" s="42">
        <f t="shared" ca="1" si="68"/>
        <v>7738990.9430533815</v>
      </c>
      <c r="O32" s="42">
        <f t="shared" ca="1" si="69"/>
        <v>6191192.7544427048</v>
      </c>
      <c r="P32" s="406">
        <f t="shared" ca="1" si="9"/>
        <v>6191192.7544427048</v>
      </c>
      <c r="R32" s="124">
        <f t="shared" si="70"/>
        <v>52962</v>
      </c>
      <c r="S32" s="117">
        <f>+IF(R32&gt;=X$9,'Taxes and TIF'!S31+1,'Taxes and TIF'!S31)</f>
        <v>20</v>
      </c>
      <c r="T32" s="42">
        <f t="shared" si="71"/>
        <v>818973.10714285716</v>
      </c>
      <c r="U32" s="116">
        <f t="shared" si="72"/>
        <v>1.14868566764928</v>
      </c>
      <c r="V32" s="42">
        <f t="shared" ca="1" si="73"/>
        <v>180393311.41983297</v>
      </c>
      <c r="W32" s="108">
        <f t="shared" si="74"/>
        <v>0.35</v>
      </c>
      <c r="X32" s="42">
        <f t="shared" ca="1" si="75"/>
        <v>63137658.996941537</v>
      </c>
      <c r="Y32" s="49">
        <f t="shared" si="76"/>
        <v>96.515600000000006</v>
      </c>
      <c r="Z32" s="42">
        <f t="shared" ca="1" si="77"/>
        <v>6066103.7523982963</v>
      </c>
      <c r="AA32" s="108">
        <f t="shared" si="78"/>
        <v>0.25</v>
      </c>
      <c r="AB32" s="42">
        <f t="shared" si="79"/>
        <v>27665.288286914998</v>
      </c>
      <c r="AC32" s="42">
        <f t="shared" ca="1" si="80"/>
        <v>6093769.0406852113</v>
      </c>
      <c r="AD32" s="42">
        <f t="shared" ca="1" si="81"/>
        <v>4549577.814298722</v>
      </c>
      <c r="AE32" s="42">
        <f t="shared" ca="1" si="82"/>
        <v>3639662.2514389777</v>
      </c>
      <c r="AF32" s="406">
        <f t="shared" ca="1" si="16"/>
        <v>3639662.2514389777</v>
      </c>
      <c r="AG32" s="124">
        <f t="shared" si="83"/>
        <v>53692</v>
      </c>
      <c r="AH32" s="117">
        <f>+IF(AG32&gt;=AM$9,'Taxes and TIF'!AH31+1,'Taxes and TIF'!AH31)</f>
        <v>20</v>
      </c>
      <c r="AI32" s="42">
        <f t="shared" si="84"/>
        <v>9121587</v>
      </c>
      <c r="AJ32" s="116">
        <f t="shared" si="85"/>
        <v>1.14868566764928</v>
      </c>
      <c r="AK32" s="42">
        <f t="shared" ca="1" si="86"/>
        <v>275114755.05210006</v>
      </c>
      <c r="AL32" s="108">
        <f t="shared" si="87"/>
        <v>0.35</v>
      </c>
      <c r="AM32" s="42">
        <f t="shared" ca="1" si="88"/>
        <v>96290164.268235013</v>
      </c>
      <c r="AN32" s="49">
        <f t="shared" si="89"/>
        <v>96.515600000000006</v>
      </c>
      <c r="AO32" s="42">
        <f t="shared" ca="1" si="90"/>
        <v>8985371.5736572444</v>
      </c>
      <c r="AP32" s="108">
        <f t="shared" si="91"/>
        <v>0.25</v>
      </c>
      <c r="AQ32" s="42">
        <f t="shared" si="92"/>
        <v>308131.40479001997</v>
      </c>
      <c r="AR32" s="42">
        <f t="shared" ca="1" si="93"/>
        <v>9293502.9784472641</v>
      </c>
      <c r="AS32" s="42">
        <f t="shared" ca="1" si="94"/>
        <v>6739028.6802429333</v>
      </c>
      <c r="AT32" s="42">
        <f t="shared" ca="1" si="95"/>
        <v>5391222.9441943467</v>
      </c>
      <c r="AU32" s="406">
        <f t="shared" ca="1" si="23"/>
        <v>5391222.9441943467</v>
      </c>
    </row>
    <row r="33" spans="1:47" ht="16" customHeight="1" x14ac:dyDescent="0.35">
      <c r="A33" s="110">
        <f t="shared" si="60"/>
        <v>1</v>
      </c>
      <c r="B33" s="124">
        <f t="shared" si="61"/>
        <v>52596</v>
      </c>
      <c r="C33" s="117">
        <f>+IF(B33&gt;=H$9,'Taxes and TIF'!C32+1,'Taxes and TIF'!C32)</f>
        <v>21</v>
      </c>
      <c r="D33" s="42">
        <f t="shared" si="25"/>
        <v>7926104.5583158471</v>
      </c>
      <c r="E33" s="116">
        <f t="shared" si="62"/>
        <v>1.14868566764928</v>
      </c>
      <c r="F33" s="42">
        <f t="shared" ca="1" si="0"/>
        <v>313388333.04004294</v>
      </c>
      <c r="G33" s="108">
        <f t="shared" si="63"/>
        <v>0.35</v>
      </c>
      <c r="H33" s="42">
        <f t="shared" ca="1" si="1"/>
        <v>109685916.56401502</v>
      </c>
      <c r="I33" s="49">
        <f t="shared" si="64"/>
        <v>96.515600000000006</v>
      </c>
      <c r="J33" s="42">
        <f t="shared" ca="1" si="65"/>
        <v>10318654.590737842</v>
      </c>
      <c r="K33" s="108">
        <f t="shared" si="66"/>
        <v>0.25</v>
      </c>
      <c r="L33" s="42">
        <f t="shared" si="2"/>
        <v>267747.45798800612</v>
      </c>
      <c r="M33" s="42">
        <f t="shared" ca="1" si="67"/>
        <v>10586402.048725849</v>
      </c>
      <c r="N33" s="42">
        <f t="shared" ca="1" si="68"/>
        <v>7738990.9430533815</v>
      </c>
      <c r="O33" s="42">
        <f t="shared" ca="1" si="69"/>
        <v>6191192.7544427048</v>
      </c>
      <c r="P33" s="406">
        <f t="shared" ca="1" si="9"/>
        <v>6191192.7544427048</v>
      </c>
      <c r="R33" s="124">
        <f t="shared" si="70"/>
        <v>53327</v>
      </c>
      <c r="S33" s="117">
        <f>+IF(R33&gt;=X$9,'Taxes and TIF'!S32+1,'Taxes and TIF'!S32)</f>
        <v>21</v>
      </c>
      <c r="T33" s="42">
        <f t="shared" si="71"/>
        <v>818973.10714285716</v>
      </c>
      <c r="U33" s="116">
        <f t="shared" si="72"/>
        <v>1.14868566764928</v>
      </c>
      <c r="V33" s="42">
        <f t="shared" ca="1" si="73"/>
        <v>180393311.41983297</v>
      </c>
      <c r="W33" s="108">
        <f t="shared" si="74"/>
        <v>0.35</v>
      </c>
      <c r="X33" s="42">
        <f t="shared" ca="1" si="75"/>
        <v>63137658.996941537</v>
      </c>
      <c r="Y33" s="49">
        <f t="shared" si="76"/>
        <v>96.515600000000006</v>
      </c>
      <c r="Z33" s="42">
        <f t="shared" ca="1" si="77"/>
        <v>6066103.7523982963</v>
      </c>
      <c r="AA33" s="108">
        <f t="shared" si="78"/>
        <v>0.25</v>
      </c>
      <c r="AB33" s="42">
        <f t="shared" si="79"/>
        <v>27665.288286914998</v>
      </c>
      <c r="AC33" s="42">
        <f t="shared" ca="1" si="80"/>
        <v>6093769.0406852113</v>
      </c>
      <c r="AD33" s="42">
        <f t="shared" ca="1" si="81"/>
        <v>4549577.814298722</v>
      </c>
      <c r="AE33" s="42">
        <f t="shared" ca="1" si="82"/>
        <v>3639662.2514389777</v>
      </c>
      <c r="AF33" s="406">
        <f t="shared" ca="1" si="16"/>
        <v>3639662.2514389777</v>
      </c>
      <c r="AG33" s="124">
        <f t="shared" si="83"/>
        <v>54057</v>
      </c>
      <c r="AH33" s="117">
        <f>+IF(AG33&gt;=AM$9,'Taxes and TIF'!AH32+1,'Taxes and TIF'!AH32)</f>
        <v>21</v>
      </c>
      <c r="AI33" s="42">
        <f t="shared" si="84"/>
        <v>9121587</v>
      </c>
      <c r="AJ33" s="116">
        <f t="shared" si="85"/>
        <v>1.14868566764928</v>
      </c>
      <c r="AK33" s="42">
        <f t="shared" ca="1" si="86"/>
        <v>275114755.05210006</v>
      </c>
      <c r="AL33" s="108">
        <f t="shared" si="87"/>
        <v>0.35</v>
      </c>
      <c r="AM33" s="42">
        <f t="shared" ca="1" si="88"/>
        <v>96290164.268235013</v>
      </c>
      <c r="AN33" s="49">
        <f t="shared" si="89"/>
        <v>96.515600000000006</v>
      </c>
      <c r="AO33" s="42">
        <f t="shared" ca="1" si="90"/>
        <v>8985371.5736572444</v>
      </c>
      <c r="AP33" s="108">
        <f t="shared" si="91"/>
        <v>0.25</v>
      </c>
      <c r="AQ33" s="42">
        <f t="shared" si="92"/>
        <v>308131.40479001997</v>
      </c>
      <c r="AR33" s="42">
        <f t="shared" ca="1" si="93"/>
        <v>9293502.9784472641</v>
      </c>
      <c r="AS33" s="42">
        <f t="shared" ca="1" si="94"/>
        <v>6739028.6802429333</v>
      </c>
      <c r="AT33" s="42">
        <f t="shared" ca="1" si="95"/>
        <v>5391222.9441943467</v>
      </c>
      <c r="AU33" s="406">
        <f t="shared" ca="1" si="23"/>
        <v>5391222.9441943467</v>
      </c>
    </row>
    <row r="34" spans="1:47" ht="16" customHeight="1" x14ac:dyDescent="0.35">
      <c r="A34" s="110">
        <f t="shared" si="60"/>
        <v>2</v>
      </c>
      <c r="B34" s="124">
        <f t="shared" si="61"/>
        <v>52962</v>
      </c>
      <c r="C34" s="117">
        <f>+IF(B34&gt;=H$9,'Taxes and TIF'!C33+1,'Taxes and TIF'!C33)</f>
        <v>22</v>
      </c>
      <c r="D34" s="42">
        <f t="shared" si="25"/>
        <v>7926104.5583158471</v>
      </c>
      <c r="E34" s="116">
        <f t="shared" si="62"/>
        <v>1.14868566764928</v>
      </c>
      <c r="F34" s="42">
        <f t="shared" ca="1" si="0"/>
        <v>313388333.04004294</v>
      </c>
      <c r="G34" s="108">
        <f t="shared" si="63"/>
        <v>0.35</v>
      </c>
      <c r="H34" s="42">
        <f t="shared" ca="1" si="1"/>
        <v>109685916.56401502</v>
      </c>
      <c r="I34" s="49">
        <f t="shared" si="64"/>
        <v>96.515600000000006</v>
      </c>
      <c r="J34" s="42">
        <f t="shared" ca="1" si="65"/>
        <v>10318654.590737842</v>
      </c>
      <c r="K34" s="108">
        <f t="shared" si="66"/>
        <v>0.25</v>
      </c>
      <c r="L34" s="42">
        <f t="shared" si="2"/>
        <v>267747.45798800612</v>
      </c>
      <c r="M34" s="42">
        <f t="shared" ca="1" si="67"/>
        <v>10586402.048725849</v>
      </c>
      <c r="N34" s="42">
        <f t="shared" ca="1" si="68"/>
        <v>7738990.9430533815</v>
      </c>
      <c r="O34" s="42">
        <f t="shared" ca="1" si="69"/>
        <v>6191192.7544427048</v>
      </c>
      <c r="P34" s="406">
        <f t="shared" ca="1" si="9"/>
        <v>6191192.7544427048</v>
      </c>
      <c r="R34" s="124">
        <f t="shared" si="70"/>
        <v>53692</v>
      </c>
      <c r="S34" s="117">
        <f>+IF(R34&gt;=X$9,'Taxes and TIF'!S33+1,'Taxes and TIF'!S33)</f>
        <v>22</v>
      </c>
      <c r="T34" s="42">
        <f t="shared" si="71"/>
        <v>818973.10714285716</v>
      </c>
      <c r="U34" s="116">
        <f t="shared" si="72"/>
        <v>1.14868566764928</v>
      </c>
      <c r="V34" s="42">
        <f t="shared" ca="1" si="73"/>
        <v>180393311.41983297</v>
      </c>
      <c r="W34" s="108">
        <f t="shared" si="74"/>
        <v>0.35</v>
      </c>
      <c r="X34" s="42">
        <f t="shared" ca="1" si="75"/>
        <v>63137658.996941537</v>
      </c>
      <c r="Y34" s="49">
        <f t="shared" si="76"/>
        <v>96.515600000000006</v>
      </c>
      <c r="Z34" s="42">
        <f t="shared" ca="1" si="77"/>
        <v>6066103.7523982963</v>
      </c>
      <c r="AA34" s="108">
        <f t="shared" si="78"/>
        <v>0.25</v>
      </c>
      <c r="AB34" s="42">
        <f t="shared" si="79"/>
        <v>27665.288286914998</v>
      </c>
      <c r="AC34" s="42">
        <f t="shared" ca="1" si="80"/>
        <v>6093769.0406852113</v>
      </c>
      <c r="AD34" s="42">
        <f t="shared" ca="1" si="81"/>
        <v>4549577.814298722</v>
      </c>
      <c r="AE34" s="42">
        <f t="shared" ca="1" si="82"/>
        <v>3639662.2514389777</v>
      </c>
      <c r="AF34" s="406">
        <f t="shared" ca="1" si="16"/>
        <v>3639662.2514389777</v>
      </c>
      <c r="AG34" s="124">
        <f t="shared" si="83"/>
        <v>54423</v>
      </c>
      <c r="AH34" s="117">
        <f>+IF(AG34&gt;=AM$9,'Taxes and TIF'!AH33+1,'Taxes and TIF'!AH33)</f>
        <v>22</v>
      </c>
      <c r="AI34" s="42">
        <f t="shared" si="84"/>
        <v>9121587</v>
      </c>
      <c r="AJ34" s="116">
        <f t="shared" si="85"/>
        <v>1.14868566764928</v>
      </c>
      <c r="AK34" s="42">
        <f t="shared" ca="1" si="86"/>
        <v>275114755.05210006</v>
      </c>
      <c r="AL34" s="108">
        <f t="shared" si="87"/>
        <v>0.35</v>
      </c>
      <c r="AM34" s="42">
        <f t="shared" ca="1" si="88"/>
        <v>96290164.268235013</v>
      </c>
      <c r="AN34" s="49">
        <f t="shared" si="89"/>
        <v>96.515600000000006</v>
      </c>
      <c r="AO34" s="42">
        <f t="shared" ca="1" si="90"/>
        <v>8985371.5736572444</v>
      </c>
      <c r="AP34" s="108">
        <f t="shared" si="91"/>
        <v>0.25</v>
      </c>
      <c r="AQ34" s="42">
        <f t="shared" si="92"/>
        <v>308131.40479001997</v>
      </c>
      <c r="AR34" s="42">
        <f t="shared" ca="1" si="93"/>
        <v>9293502.9784472641</v>
      </c>
      <c r="AS34" s="42">
        <f t="shared" ca="1" si="94"/>
        <v>6739028.6802429333</v>
      </c>
      <c r="AT34" s="42">
        <f t="shared" ca="1" si="95"/>
        <v>5391222.9441943467</v>
      </c>
      <c r="AU34" s="406">
        <f t="shared" ca="1" si="23"/>
        <v>5391222.9441943467</v>
      </c>
    </row>
    <row r="35" spans="1:47" ht="16" customHeight="1" x14ac:dyDescent="0.35">
      <c r="A35" s="110">
        <f t="shared" si="60"/>
        <v>0</v>
      </c>
      <c r="B35" s="124">
        <f t="shared" si="61"/>
        <v>53327</v>
      </c>
      <c r="C35" s="117">
        <f>+IF(B35&gt;=H$9,'Taxes and TIF'!C34+1,'Taxes and TIF'!C34)</f>
        <v>23</v>
      </c>
      <c r="D35" s="42">
        <f t="shared" si="25"/>
        <v>8084626.6494821645</v>
      </c>
      <c r="E35" s="116">
        <f t="shared" si="62"/>
        <v>1.1716593810022657</v>
      </c>
      <c r="F35" s="42">
        <f t="shared" ca="1" si="0"/>
        <v>319656099.70084381</v>
      </c>
      <c r="G35" s="108">
        <f t="shared" si="63"/>
        <v>0.35</v>
      </c>
      <c r="H35" s="42">
        <f t="shared" ca="1" si="1"/>
        <v>111879634.89529532</v>
      </c>
      <c r="I35" s="49">
        <f t="shared" si="64"/>
        <v>96.515600000000006</v>
      </c>
      <c r="J35" s="42">
        <f t="shared" ca="1" si="65"/>
        <v>10525027.682552598</v>
      </c>
      <c r="K35" s="108">
        <f t="shared" si="66"/>
        <v>0.25</v>
      </c>
      <c r="L35" s="42">
        <f t="shared" si="2"/>
        <v>273102.40714776627</v>
      </c>
      <c r="M35" s="42">
        <f t="shared" ca="1" si="67"/>
        <v>10798130.089700365</v>
      </c>
      <c r="N35" s="42">
        <f t="shared" ca="1" si="68"/>
        <v>7893770.7619144488</v>
      </c>
      <c r="O35" s="42">
        <f t="shared" ca="1" si="69"/>
        <v>6315016.6095315591</v>
      </c>
      <c r="P35" s="406">
        <f t="shared" ca="1" si="9"/>
        <v>6315016.6095315591</v>
      </c>
      <c r="R35" s="124">
        <f t="shared" si="70"/>
        <v>54057</v>
      </c>
      <c r="S35" s="117">
        <f>+IF(R35&gt;=X$9,'Taxes and TIF'!S34+1,'Taxes and TIF'!S34)</f>
        <v>23</v>
      </c>
      <c r="T35" s="42">
        <f t="shared" si="71"/>
        <v>818973.10714285716</v>
      </c>
      <c r="U35" s="116">
        <f t="shared" si="72"/>
        <v>1.1716593810022657</v>
      </c>
      <c r="V35" s="42">
        <f t="shared" ca="1" si="73"/>
        <v>184001177.64822966</v>
      </c>
      <c r="W35" s="108">
        <f t="shared" si="74"/>
        <v>0.35</v>
      </c>
      <c r="X35" s="42">
        <f t="shared" ca="1" si="75"/>
        <v>64400412.176880375</v>
      </c>
      <c r="Y35" s="49">
        <f t="shared" si="76"/>
        <v>96.515600000000006</v>
      </c>
      <c r="Z35" s="42">
        <f t="shared" ca="1" si="77"/>
        <v>6187979.1332120011</v>
      </c>
      <c r="AA35" s="108">
        <f t="shared" si="78"/>
        <v>0.25</v>
      </c>
      <c r="AB35" s="42">
        <f t="shared" si="79"/>
        <v>27665.288286914998</v>
      </c>
      <c r="AC35" s="42">
        <f t="shared" ca="1" si="80"/>
        <v>6215644.4214989161</v>
      </c>
      <c r="AD35" s="42">
        <f t="shared" ca="1" si="81"/>
        <v>4640984.349909001</v>
      </c>
      <c r="AE35" s="42">
        <f t="shared" ca="1" si="82"/>
        <v>3712787.4799272008</v>
      </c>
      <c r="AF35" s="406">
        <f t="shared" ca="1" si="16"/>
        <v>3712787.4799272008</v>
      </c>
      <c r="AG35" s="124">
        <f t="shared" si="83"/>
        <v>54788</v>
      </c>
      <c r="AH35" s="117">
        <f>+IF(AG35&gt;=AM$9,'Taxes and TIF'!AH34+1,'Taxes and TIF'!AH34)</f>
        <v>23</v>
      </c>
      <c r="AI35" s="42">
        <f t="shared" si="84"/>
        <v>9121587</v>
      </c>
      <c r="AJ35" s="116">
        <f t="shared" si="85"/>
        <v>1.1716593810022657</v>
      </c>
      <c r="AK35" s="42">
        <f t="shared" ca="1" si="86"/>
        <v>280617050.15314209</v>
      </c>
      <c r="AL35" s="108">
        <f t="shared" si="87"/>
        <v>0.35</v>
      </c>
      <c r="AM35" s="42">
        <f t="shared" ca="1" si="88"/>
        <v>98215967.55359973</v>
      </c>
      <c r="AN35" s="49">
        <f t="shared" si="89"/>
        <v>96.515600000000006</v>
      </c>
      <c r="AO35" s="42">
        <f t="shared" ca="1" si="90"/>
        <v>9171241.6332261916</v>
      </c>
      <c r="AP35" s="108">
        <f t="shared" si="91"/>
        <v>0.25</v>
      </c>
      <c r="AQ35" s="42">
        <f t="shared" si="92"/>
        <v>308131.40479001997</v>
      </c>
      <c r="AR35" s="42">
        <f t="shared" ca="1" si="93"/>
        <v>9479373.0380162112</v>
      </c>
      <c r="AS35" s="42">
        <f t="shared" ca="1" si="94"/>
        <v>6878431.2249196433</v>
      </c>
      <c r="AT35" s="42">
        <f t="shared" ca="1" si="95"/>
        <v>5502744.979935715</v>
      </c>
      <c r="AU35" s="406">
        <f t="shared" ca="1" si="23"/>
        <v>5502744.979935715</v>
      </c>
    </row>
    <row r="36" spans="1:47" ht="16" customHeight="1" x14ac:dyDescent="0.35">
      <c r="A36" s="110">
        <f t="shared" si="60"/>
        <v>1</v>
      </c>
      <c r="B36" s="124">
        <f t="shared" si="61"/>
        <v>53692</v>
      </c>
      <c r="C36" s="117">
        <f>+IF(B36&gt;=H$9,'Taxes and TIF'!C35+1,'Taxes and TIF'!C35)</f>
        <v>24</v>
      </c>
      <c r="D36" s="42">
        <f t="shared" si="25"/>
        <v>8084626.6494821645</v>
      </c>
      <c r="E36" s="116">
        <f t="shared" si="62"/>
        <v>1.1716593810022657</v>
      </c>
      <c r="F36" s="42">
        <f t="shared" ca="1" si="0"/>
        <v>319656099.70084381</v>
      </c>
      <c r="G36" s="108">
        <f t="shared" si="63"/>
        <v>0.35</v>
      </c>
      <c r="H36" s="42">
        <f t="shared" ca="1" si="1"/>
        <v>111879634.89529532</v>
      </c>
      <c r="I36" s="49">
        <f t="shared" si="64"/>
        <v>96.515600000000006</v>
      </c>
      <c r="J36" s="42">
        <f t="shared" ca="1" si="65"/>
        <v>10525027.682552598</v>
      </c>
      <c r="K36" s="108">
        <f t="shared" si="66"/>
        <v>0.25</v>
      </c>
      <c r="L36" s="42">
        <f t="shared" si="2"/>
        <v>273102.40714776627</v>
      </c>
      <c r="M36" s="42">
        <f t="shared" ca="1" si="67"/>
        <v>10798130.089700365</v>
      </c>
      <c r="N36" s="42">
        <f t="shared" ca="1" si="68"/>
        <v>7893770.7619144488</v>
      </c>
      <c r="O36" s="42">
        <f t="shared" ca="1" si="69"/>
        <v>6315016.6095315591</v>
      </c>
      <c r="P36" s="406">
        <f t="shared" ca="1" si="9"/>
        <v>6315016.6095315591</v>
      </c>
      <c r="R36" s="124">
        <f t="shared" si="70"/>
        <v>54423</v>
      </c>
      <c r="S36" s="117">
        <f>+IF(R36&gt;=X$9,'Taxes and TIF'!S35+1,'Taxes and TIF'!S35)</f>
        <v>24</v>
      </c>
      <c r="T36" s="42">
        <f t="shared" si="71"/>
        <v>818973.10714285716</v>
      </c>
      <c r="U36" s="116">
        <f t="shared" si="72"/>
        <v>1.1716593810022657</v>
      </c>
      <c r="V36" s="42">
        <f t="shared" ca="1" si="73"/>
        <v>184001177.64822966</v>
      </c>
      <c r="W36" s="108">
        <f t="shared" si="74"/>
        <v>0.35</v>
      </c>
      <c r="X36" s="42">
        <f t="shared" ca="1" si="75"/>
        <v>64400412.176880375</v>
      </c>
      <c r="Y36" s="49">
        <f t="shared" si="76"/>
        <v>96.515600000000006</v>
      </c>
      <c r="Z36" s="42">
        <f t="shared" ca="1" si="77"/>
        <v>6187979.1332120011</v>
      </c>
      <c r="AA36" s="108">
        <f t="shared" si="78"/>
        <v>0.25</v>
      </c>
      <c r="AB36" s="42">
        <f t="shared" si="79"/>
        <v>27665.288286914998</v>
      </c>
      <c r="AC36" s="42">
        <f t="shared" ca="1" si="80"/>
        <v>6215644.4214989161</v>
      </c>
      <c r="AD36" s="42">
        <f t="shared" ca="1" si="81"/>
        <v>4640984.349909001</v>
      </c>
      <c r="AE36" s="42">
        <f t="shared" ca="1" si="82"/>
        <v>3712787.4799272008</v>
      </c>
      <c r="AF36" s="406">
        <f t="shared" ca="1" si="16"/>
        <v>3712787.4799272008</v>
      </c>
      <c r="AG36" s="124">
        <f t="shared" si="83"/>
        <v>55153</v>
      </c>
      <c r="AH36" s="117">
        <f>+IF(AG36&gt;=AM$9,'Taxes and TIF'!AH35+1,'Taxes and TIF'!AH35)</f>
        <v>24</v>
      </c>
      <c r="AI36" s="42">
        <f t="shared" si="84"/>
        <v>9121587</v>
      </c>
      <c r="AJ36" s="116">
        <f t="shared" si="85"/>
        <v>1.1716593810022657</v>
      </c>
      <c r="AK36" s="42">
        <f t="shared" ca="1" si="86"/>
        <v>280617050.15314209</v>
      </c>
      <c r="AL36" s="108">
        <f t="shared" si="87"/>
        <v>0.35</v>
      </c>
      <c r="AM36" s="42">
        <f t="shared" ca="1" si="88"/>
        <v>98215967.55359973</v>
      </c>
      <c r="AN36" s="49">
        <f t="shared" si="89"/>
        <v>96.515600000000006</v>
      </c>
      <c r="AO36" s="42">
        <f t="shared" ca="1" si="90"/>
        <v>9171241.6332261916</v>
      </c>
      <c r="AP36" s="108">
        <f t="shared" si="91"/>
        <v>0.25</v>
      </c>
      <c r="AQ36" s="42">
        <f t="shared" si="92"/>
        <v>308131.40479001997</v>
      </c>
      <c r="AR36" s="42">
        <f t="shared" ca="1" si="93"/>
        <v>9479373.0380162112</v>
      </c>
      <c r="AS36" s="42">
        <f t="shared" ca="1" si="94"/>
        <v>6878431.2249196433</v>
      </c>
      <c r="AT36" s="42">
        <f t="shared" ca="1" si="95"/>
        <v>5502744.979935715</v>
      </c>
      <c r="AU36" s="406">
        <f t="shared" ca="1" si="23"/>
        <v>5502744.979935715</v>
      </c>
    </row>
    <row r="37" spans="1:47" ht="16" customHeight="1" x14ac:dyDescent="0.35">
      <c r="A37" s="110">
        <f t="shared" si="60"/>
        <v>2</v>
      </c>
      <c r="B37" s="124">
        <f t="shared" si="61"/>
        <v>54057</v>
      </c>
      <c r="C37" s="117">
        <f>+IF(B37&gt;=H$9,'Taxes and TIF'!C36+1,'Taxes and TIF'!C36)</f>
        <v>25</v>
      </c>
      <c r="D37" s="42">
        <f t="shared" si="25"/>
        <v>8084626.6494821645</v>
      </c>
      <c r="E37" s="116">
        <f t="shared" si="62"/>
        <v>1.1716593810022657</v>
      </c>
      <c r="F37" s="42">
        <f t="shared" ca="1" si="0"/>
        <v>319656099.70084381</v>
      </c>
      <c r="G37" s="108">
        <f t="shared" si="63"/>
        <v>0.35</v>
      </c>
      <c r="H37" s="42">
        <f t="shared" ca="1" si="1"/>
        <v>111879634.89529532</v>
      </c>
      <c r="I37" s="49">
        <f t="shared" si="64"/>
        <v>96.515600000000006</v>
      </c>
      <c r="J37" s="42">
        <f t="shared" ca="1" si="65"/>
        <v>10525027.682552598</v>
      </c>
      <c r="K37" s="108">
        <f t="shared" si="66"/>
        <v>0.25</v>
      </c>
      <c r="L37" s="42">
        <f t="shared" si="2"/>
        <v>273102.40714776627</v>
      </c>
      <c r="M37" s="42">
        <f t="shared" ca="1" si="67"/>
        <v>10798130.089700365</v>
      </c>
      <c r="N37" s="42">
        <f t="shared" ca="1" si="68"/>
        <v>7893770.7619144488</v>
      </c>
      <c r="O37" s="42">
        <f t="shared" ca="1" si="69"/>
        <v>6315016.6095315591</v>
      </c>
      <c r="P37" s="406">
        <f t="shared" ca="1" si="9"/>
        <v>6315016.6095315591</v>
      </c>
      <c r="R37" s="124">
        <f t="shared" si="70"/>
        <v>54788</v>
      </c>
      <c r="S37" s="117">
        <f>+IF(R37&gt;=X$9,'Taxes and TIF'!S36+1,'Taxes and TIF'!S36)</f>
        <v>25</v>
      </c>
      <c r="T37" s="42">
        <f t="shared" si="71"/>
        <v>818973.10714285716</v>
      </c>
      <c r="U37" s="116">
        <f t="shared" si="72"/>
        <v>1.1716593810022657</v>
      </c>
      <c r="V37" s="42">
        <f t="shared" ca="1" si="73"/>
        <v>184001177.64822966</v>
      </c>
      <c r="W37" s="108">
        <f t="shared" si="74"/>
        <v>0.35</v>
      </c>
      <c r="X37" s="42">
        <f t="shared" ca="1" si="75"/>
        <v>64400412.176880375</v>
      </c>
      <c r="Y37" s="49">
        <f t="shared" si="76"/>
        <v>96.515600000000006</v>
      </c>
      <c r="Z37" s="42">
        <f t="shared" ca="1" si="77"/>
        <v>6187979.1332120011</v>
      </c>
      <c r="AA37" s="108">
        <f t="shared" si="78"/>
        <v>0.25</v>
      </c>
      <c r="AB37" s="42">
        <f t="shared" si="79"/>
        <v>27665.288286914998</v>
      </c>
      <c r="AC37" s="42">
        <f t="shared" ca="1" si="80"/>
        <v>6215644.4214989161</v>
      </c>
      <c r="AD37" s="42">
        <f t="shared" ca="1" si="81"/>
        <v>4640984.349909001</v>
      </c>
      <c r="AE37" s="42">
        <f t="shared" ca="1" si="82"/>
        <v>3712787.4799272008</v>
      </c>
      <c r="AF37" s="406">
        <f t="shared" ca="1" si="16"/>
        <v>3712787.4799272008</v>
      </c>
      <c r="AG37" s="124">
        <f t="shared" si="83"/>
        <v>55518</v>
      </c>
      <c r="AH37" s="117">
        <f>+IF(AG37&gt;=AM$9,'Taxes and TIF'!AH36+1,'Taxes and TIF'!AH36)</f>
        <v>25</v>
      </c>
      <c r="AI37" s="42">
        <f t="shared" si="84"/>
        <v>9121587</v>
      </c>
      <c r="AJ37" s="116">
        <f t="shared" si="85"/>
        <v>1.1716593810022657</v>
      </c>
      <c r="AK37" s="42">
        <f t="shared" ca="1" si="86"/>
        <v>280617050.15314209</v>
      </c>
      <c r="AL37" s="108">
        <f t="shared" si="87"/>
        <v>0.35</v>
      </c>
      <c r="AM37" s="42">
        <f t="shared" ca="1" si="88"/>
        <v>98215967.55359973</v>
      </c>
      <c r="AN37" s="49">
        <f t="shared" si="89"/>
        <v>96.515600000000006</v>
      </c>
      <c r="AO37" s="42">
        <f t="shared" ca="1" si="90"/>
        <v>9171241.6332261916</v>
      </c>
      <c r="AP37" s="108">
        <f t="shared" si="91"/>
        <v>0.25</v>
      </c>
      <c r="AQ37" s="42">
        <f t="shared" si="92"/>
        <v>308131.40479001997</v>
      </c>
      <c r="AR37" s="42">
        <f t="shared" ca="1" si="93"/>
        <v>9479373.0380162112</v>
      </c>
      <c r="AS37" s="42">
        <f t="shared" ca="1" si="94"/>
        <v>6878431.2249196433</v>
      </c>
      <c r="AT37" s="42">
        <f t="shared" ca="1" si="95"/>
        <v>5502744.979935715</v>
      </c>
      <c r="AU37" s="406">
        <f t="shared" ca="1" si="23"/>
        <v>5502744.979935715</v>
      </c>
    </row>
    <row r="38" spans="1:47" ht="16" customHeight="1" x14ac:dyDescent="0.35">
      <c r="A38" s="110">
        <f t="shared" si="60"/>
        <v>0</v>
      </c>
      <c r="B38" s="124">
        <f t="shared" si="61"/>
        <v>54423</v>
      </c>
      <c r="C38" s="117">
        <f>+IF(B38&gt;=H$9,'Taxes and TIF'!C37+1,'Taxes and TIF'!C37)</f>
        <v>26</v>
      </c>
      <c r="D38" s="42">
        <f t="shared" si="25"/>
        <v>8246319.182471808</v>
      </c>
      <c r="E38" s="116">
        <f t="shared" si="62"/>
        <v>1.1950925686223111</v>
      </c>
      <c r="F38" s="42">
        <f t="shared" ca="1" si="0"/>
        <v>326049221.6948607</v>
      </c>
      <c r="G38" s="108">
        <f t="shared" si="63"/>
        <v>0.35</v>
      </c>
      <c r="H38" s="42">
        <f t="shared" ca="1" si="1"/>
        <v>114117227.59320123</v>
      </c>
      <c r="I38" s="49">
        <f t="shared" si="64"/>
        <v>96.515600000000006</v>
      </c>
      <c r="J38" s="42">
        <f t="shared" ca="1" si="65"/>
        <v>10735528.236203652</v>
      </c>
      <c r="K38" s="108">
        <f t="shared" si="66"/>
        <v>0.25</v>
      </c>
      <c r="L38" s="42">
        <f t="shared" si="2"/>
        <v>278564.45529072161</v>
      </c>
      <c r="M38" s="42">
        <f t="shared" ca="1" si="67"/>
        <v>11014092.691494374</v>
      </c>
      <c r="N38" s="42">
        <f t="shared" ca="1" si="68"/>
        <v>8051646.1771527389</v>
      </c>
      <c r="O38" s="42">
        <f t="shared" ca="1" si="69"/>
        <v>6441316.9417221909</v>
      </c>
      <c r="P38" s="406">
        <f t="shared" ca="1" si="9"/>
        <v>6441316.9417221909</v>
      </c>
      <c r="R38" s="124">
        <f t="shared" si="70"/>
        <v>55153</v>
      </c>
      <c r="S38" s="117">
        <f>+IF(R38&gt;=X$9,'Taxes and TIF'!S37+1,'Taxes and TIF'!S37)</f>
        <v>26</v>
      </c>
      <c r="T38" s="42">
        <f t="shared" si="71"/>
        <v>818973.10714285716</v>
      </c>
      <c r="U38" s="116">
        <f t="shared" si="72"/>
        <v>1.1950925686223111</v>
      </c>
      <c r="V38" s="42">
        <f t="shared" ca="1" si="73"/>
        <v>187681201.20119423</v>
      </c>
      <c r="W38" s="108">
        <f t="shared" si="74"/>
        <v>0.35</v>
      </c>
      <c r="X38" s="42">
        <f t="shared" ca="1" si="75"/>
        <v>65688420.420417972</v>
      </c>
      <c r="Y38" s="49">
        <f t="shared" si="76"/>
        <v>96.515600000000006</v>
      </c>
      <c r="Z38" s="42">
        <f t="shared" ca="1" si="77"/>
        <v>6312292.0216419781</v>
      </c>
      <c r="AA38" s="108">
        <f t="shared" si="78"/>
        <v>0.25</v>
      </c>
      <c r="AB38" s="42">
        <f t="shared" si="79"/>
        <v>27665.288286914998</v>
      </c>
      <c r="AC38" s="42">
        <f t="shared" ca="1" si="80"/>
        <v>6339957.3099288931</v>
      </c>
      <c r="AD38" s="42">
        <f t="shared" ca="1" si="81"/>
        <v>4734219.0162314838</v>
      </c>
      <c r="AE38" s="42">
        <f t="shared" ca="1" si="82"/>
        <v>3787375.2129851868</v>
      </c>
      <c r="AF38" s="406">
        <f t="shared" ca="1" si="16"/>
        <v>3787375.2129851868</v>
      </c>
      <c r="AG38" s="124">
        <f t="shared" si="83"/>
        <v>55884</v>
      </c>
      <c r="AH38" s="117">
        <f>+IF(AG38&gt;=AM$9,'Taxes and TIF'!AH37+1,'Taxes and TIF'!AH37)</f>
        <v>26</v>
      </c>
      <c r="AI38" s="42">
        <f t="shared" si="84"/>
        <v>9121587</v>
      </c>
      <c r="AJ38" s="116">
        <f t="shared" si="85"/>
        <v>1.1950925686223111</v>
      </c>
      <c r="AK38" s="42">
        <f t="shared" ca="1" si="86"/>
        <v>286229391.15620494</v>
      </c>
      <c r="AL38" s="108">
        <f t="shared" si="87"/>
        <v>0.35</v>
      </c>
      <c r="AM38" s="42">
        <f t="shared" ca="1" si="88"/>
        <v>100180286.90467173</v>
      </c>
      <c r="AN38" s="49">
        <f t="shared" si="89"/>
        <v>96.515600000000006</v>
      </c>
      <c r="AO38" s="42">
        <f t="shared" ca="1" si="90"/>
        <v>9360829.093986515</v>
      </c>
      <c r="AP38" s="108">
        <f t="shared" si="91"/>
        <v>0.25</v>
      </c>
      <c r="AQ38" s="42">
        <f t="shared" si="92"/>
        <v>308131.40479001997</v>
      </c>
      <c r="AR38" s="42">
        <f t="shared" ca="1" si="93"/>
        <v>9668960.4987765346</v>
      </c>
      <c r="AS38" s="42">
        <f t="shared" ca="1" si="94"/>
        <v>7020621.8204898862</v>
      </c>
      <c r="AT38" s="42">
        <f t="shared" ca="1" si="95"/>
        <v>5616497.4563919092</v>
      </c>
      <c r="AU38" s="406">
        <f t="shared" ca="1" si="23"/>
        <v>5616497.4563919092</v>
      </c>
    </row>
    <row r="39" spans="1:47" ht="16" customHeight="1" x14ac:dyDescent="0.35">
      <c r="A39" s="110">
        <f t="shared" si="60"/>
        <v>1</v>
      </c>
      <c r="B39" s="124">
        <f t="shared" si="61"/>
        <v>54788</v>
      </c>
      <c r="C39" s="117">
        <f>+IF(B39&gt;=H$9,'Taxes and TIF'!C38+1,'Taxes and TIF'!C38)</f>
        <v>27</v>
      </c>
      <c r="D39" s="42">
        <f t="shared" si="25"/>
        <v>8246319.182471808</v>
      </c>
      <c r="E39" s="116">
        <f t="shared" si="62"/>
        <v>1.1950925686223111</v>
      </c>
      <c r="F39" s="42">
        <f t="shared" ca="1" si="0"/>
        <v>326049221.6948607</v>
      </c>
      <c r="G39" s="108">
        <f t="shared" si="63"/>
        <v>0.35</v>
      </c>
      <c r="H39" s="42">
        <f t="shared" ca="1" si="1"/>
        <v>114117227.59320123</v>
      </c>
      <c r="I39" s="49">
        <f t="shared" si="64"/>
        <v>96.515600000000006</v>
      </c>
      <c r="J39" s="42">
        <f t="shared" ca="1" si="65"/>
        <v>10735528.236203652</v>
      </c>
      <c r="K39" s="108">
        <f t="shared" si="66"/>
        <v>0.25</v>
      </c>
      <c r="L39" s="42">
        <f t="shared" si="2"/>
        <v>278564.45529072161</v>
      </c>
      <c r="M39" s="42">
        <f t="shared" ca="1" si="67"/>
        <v>11014092.691494374</v>
      </c>
      <c r="N39" s="42">
        <f t="shared" ca="1" si="68"/>
        <v>8051646.1771527389</v>
      </c>
      <c r="O39" s="42">
        <f t="shared" ca="1" si="69"/>
        <v>6441316.9417221909</v>
      </c>
      <c r="P39" s="406">
        <f t="shared" ca="1" si="9"/>
        <v>6441316.9417221909</v>
      </c>
      <c r="R39" s="124">
        <f t="shared" si="70"/>
        <v>55518</v>
      </c>
      <c r="S39" s="117">
        <f>+IF(R39&gt;=X$9,'Taxes and TIF'!S38+1,'Taxes and TIF'!S38)</f>
        <v>27</v>
      </c>
      <c r="T39" s="42">
        <f t="shared" si="71"/>
        <v>818973.10714285716</v>
      </c>
      <c r="U39" s="116">
        <f t="shared" si="72"/>
        <v>1.1950925686223111</v>
      </c>
      <c r="V39" s="42">
        <f t="shared" ca="1" si="73"/>
        <v>187681201.20119423</v>
      </c>
      <c r="W39" s="108">
        <f t="shared" si="74"/>
        <v>0.35</v>
      </c>
      <c r="X39" s="42">
        <f t="shared" ca="1" si="75"/>
        <v>65688420.420417972</v>
      </c>
      <c r="Y39" s="49">
        <f t="shared" si="76"/>
        <v>96.515600000000006</v>
      </c>
      <c r="Z39" s="42">
        <f t="shared" ca="1" si="77"/>
        <v>6312292.0216419781</v>
      </c>
      <c r="AA39" s="108">
        <f t="shared" si="78"/>
        <v>0.25</v>
      </c>
      <c r="AB39" s="42">
        <f t="shared" si="79"/>
        <v>27665.288286914998</v>
      </c>
      <c r="AC39" s="42">
        <f t="shared" ca="1" si="80"/>
        <v>6339957.3099288931</v>
      </c>
      <c r="AD39" s="42">
        <f t="shared" ca="1" si="81"/>
        <v>4734219.0162314838</v>
      </c>
      <c r="AE39" s="42">
        <f t="shared" ca="1" si="82"/>
        <v>3787375.2129851868</v>
      </c>
      <c r="AF39" s="406">
        <f t="shared" ca="1" si="16"/>
        <v>3787375.2129851868</v>
      </c>
      <c r="AG39" s="124">
        <f t="shared" si="83"/>
        <v>56249</v>
      </c>
      <c r="AH39" s="117">
        <f>+IF(AG39&gt;=AM$9,'Taxes and TIF'!AH38+1,'Taxes and TIF'!AH38)</f>
        <v>27</v>
      </c>
      <c r="AI39" s="42">
        <f t="shared" si="84"/>
        <v>9121587</v>
      </c>
      <c r="AJ39" s="116">
        <f t="shared" si="85"/>
        <v>1.1950925686223111</v>
      </c>
      <c r="AK39" s="42">
        <f t="shared" ca="1" si="86"/>
        <v>286229391.15620494</v>
      </c>
      <c r="AL39" s="108">
        <f t="shared" si="87"/>
        <v>0.35</v>
      </c>
      <c r="AM39" s="42">
        <f t="shared" ca="1" si="88"/>
        <v>100180286.90467173</v>
      </c>
      <c r="AN39" s="49">
        <f t="shared" si="89"/>
        <v>96.515600000000006</v>
      </c>
      <c r="AO39" s="42">
        <f t="shared" ca="1" si="90"/>
        <v>9360829.093986515</v>
      </c>
      <c r="AP39" s="108">
        <f t="shared" si="91"/>
        <v>0.25</v>
      </c>
      <c r="AQ39" s="42">
        <f t="shared" si="92"/>
        <v>308131.40479001997</v>
      </c>
      <c r="AR39" s="42">
        <f t="shared" ca="1" si="93"/>
        <v>9668960.4987765346</v>
      </c>
      <c r="AS39" s="42">
        <f t="shared" ca="1" si="94"/>
        <v>7020621.8204898862</v>
      </c>
      <c r="AT39" s="42">
        <f t="shared" ca="1" si="95"/>
        <v>5616497.4563919092</v>
      </c>
      <c r="AU39" s="406">
        <f t="shared" ca="1" si="23"/>
        <v>5616497.4563919092</v>
      </c>
    </row>
    <row r="40" spans="1:47" ht="16" customHeight="1" x14ac:dyDescent="0.35">
      <c r="A40" s="110">
        <f t="shared" si="60"/>
        <v>2</v>
      </c>
      <c r="B40" s="124">
        <f t="shared" si="61"/>
        <v>55153</v>
      </c>
      <c r="C40" s="117">
        <f>+IF(B40&gt;=H$9,'Taxes and TIF'!C39+1,'Taxes and TIF'!C39)</f>
        <v>28</v>
      </c>
      <c r="D40" s="42">
        <f t="shared" si="25"/>
        <v>8246319.182471808</v>
      </c>
      <c r="E40" s="116">
        <f t="shared" si="62"/>
        <v>1.1950925686223111</v>
      </c>
      <c r="F40" s="42">
        <f t="shared" ca="1" si="0"/>
        <v>326049221.6948607</v>
      </c>
      <c r="G40" s="108">
        <f t="shared" si="63"/>
        <v>0.35</v>
      </c>
      <c r="H40" s="42">
        <f t="shared" ca="1" si="1"/>
        <v>114117227.59320123</v>
      </c>
      <c r="I40" s="49">
        <f t="shared" si="64"/>
        <v>96.515600000000006</v>
      </c>
      <c r="J40" s="42">
        <f t="shared" ca="1" si="65"/>
        <v>10735528.236203652</v>
      </c>
      <c r="K40" s="108">
        <f t="shared" si="66"/>
        <v>0.25</v>
      </c>
      <c r="L40" s="42">
        <f t="shared" si="2"/>
        <v>278564.45529072161</v>
      </c>
      <c r="M40" s="42">
        <f t="shared" ca="1" si="67"/>
        <v>11014092.691494374</v>
      </c>
      <c r="N40" s="42">
        <f t="shared" ca="1" si="68"/>
        <v>8051646.1771527389</v>
      </c>
      <c r="O40" s="42">
        <f t="shared" ca="1" si="69"/>
        <v>6441316.9417221909</v>
      </c>
      <c r="P40" s="406">
        <f t="shared" ca="1" si="9"/>
        <v>6441316.9417221909</v>
      </c>
      <c r="R40" s="124">
        <f t="shared" si="70"/>
        <v>55884</v>
      </c>
      <c r="S40" s="117">
        <f>+IF(R40&gt;=X$9,'Taxes and TIF'!S39+1,'Taxes and TIF'!S39)</f>
        <v>28</v>
      </c>
      <c r="T40" s="42">
        <f t="shared" si="71"/>
        <v>818973.10714285716</v>
      </c>
      <c r="U40" s="116">
        <f t="shared" si="72"/>
        <v>1.1950925686223111</v>
      </c>
      <c r="V40" s="42">
        <f t="shared" ca="1" si="73"/>
        <v>187681201.20119423</v>
      </c>
      <c r="W40" s="108">
        <f t="shared" si="74"/>
        <v>0.35</v>
      </c>
      <c r="X40" s="42">
        <f t="shared" ca="1" si="75"/>
        <v>65688420.420417972</v>
      </c>
      <c r="Y40" s="49">
        <f t="shared" si="76"/>
        <v>96.515600000000006</v>
      </c>
      <c r="Z40" s="42">
        <f t="shared" ca="1" si="77"/>
        <v>6312292.0216419781</v>
      </c>
      <c r="AA40" s="108">
        <f t="shared" si="78"/>
        <v>0.25</v>
      </c>
      <c r="AB40" s="42">
        <f t="shared" si="79"/>
        <v>27665.288286914998</v>
      </c>
      <c r="AC40" s="42">
        <f t="shared" ca="1" si="80"/>
        <v>6339957.3099288931</v>
      </c>
      <c r="AD40" s="42">
        <f t="shared" ca="1" si="81"/>
        <v>4734219.0162314838</v>
      </c>
      <c r="AE40" s="42">
        <f t="shared" ca="1" si="82"/>
        <v>3787375.2129851868</v>
      </c>
      <c r="AF40" s="406">
        <f t="shared" ca="1" si="16"/>
        <v>3787375.2129851868</v>
      </c>
      <c r="AG40" s="124">
        <f t="shared" si="83"/>
        <v>56614</v>
      </c>
      <c r="AH40" s="117">
        <f>+IF(AG40&gt;=AM$9,'Taxes and TIF'!AH39+1,'Taxes and TIF'!AH39)</f>
        <v>28</v>
      </c>
      <c r="AI40" s="42">
        <f t="shared" si="84"/>
        <v>9121587</v>
      </c>
      <c r="AJ40" s="116">
        <f t="shared" si="85"/>
        <v>1.1950925686223111</v>
      </c>
      <c r="AK40" s="42">
        <f t="shared" ca="1" si="86"/>
        <v>286229391.15620494</v>
      </c>
      <c r="AL40" s="108">
        <f t="shared" si="87"/>
        <v>0.35</v>
      </c>
      <c r="AM40" s="42">
        <f t="shared" ca="1" si="88"/>
        <v>100180286.90467173</v>
      </c>
      <c r="AN40" s="49">
        <f t="shared" si="89"/>
        <v>96.515600000000006</v>
      </c>
      <c r="AO40" s="42">
        <f t="shared" ca="1" si="90"/>
        <v>9360829.093986515</v>
      </c>
      <c r="AP40" s="108">
        <f t="shared" si="91"/>
        <v>0.25</v>
      </c>
      <c r="AQ40" s="42">
        <f t="shared" si="92"/>
        <v>308131.40479001997</v>
      </c>
      <c r="AR40" s="42">
        <f t="shared" ca="1" si="93"/>
        <v>9668960.4987765346</v>
      </c>
      <c r="AS40" s="42">
        <f t="shared" ca="1" si="94"/>
        <v>7020621.8204898862</v>
      </c>
      <c r="AT40" s="42">
        <f t="shared" ca="1" si="95"/>
        <v>5616497.4563919092</v>
      </c>
      <c r="AU40" s="406">
        <f t="shared" ca="1" si="23"/>
        <v>5616497.4563919092</v>
      </c>
    </row>
    <row r="41" spans="1:47" ht="16" customHeight="1" x14ac:dyDescent="0.35">
      <c r="A41" s="110">
        <f t="shared" si="60"/>
        <v>0</v>
      </c>
      <c r="B41" s="124">
        <f t="shared" si="61"/>
        <v>55518</v>
      </c>
      <c r="C41" s="117">
        <f>+IF(B41&gt;=H$9,'Taxes and TIF'!C40+1,'Taxes and TIF'!C40)</f>
        <v>29</v>
      </c>
      <c r="D41" s="42">
        <f t="shared" si="25"/>
        <v>8411245.5661212448</v>
      </c>
      <c r="E41" s="116">
        <f t="shared" si="62"/>
        <v>1.2189944199947573</v>
      </c>
      <c r="F41" s="42">
        <f t="shared" ca="1" si="0"/>
        <v>332570206.12875789</v>
      </c>
      <c r="G41" s="108">
        <f t="shared" si="63"/>
        <v>0.35</v>
      </c>
      <c r="H41" s="42">
        <f t="shared" ca="1" si="1"/>
        <v>116399572.14506526</v>
      </c>
      <c r="I41" s="49">
        <f t="shared" si="64"/>
        <v>96.515600000000006</v>
      </c>
      <c r="J41" s="42">
        <f t="shared" ca="1" si="65"/>
        <v>10950238.800927725</v>
      </c>
      <c r="K41" s="108">
        <f t="shared" si="66"/>
        <v>0.25</v>
      </c>
      <c r="L41" s="42">
        <f t="shared" si="2"/>
        <v>284135.74439653603</v>
      </c>
      <c r="M41" s="42">
        <f t="shared" ca="1" si="67"/>
        <v>11234374.54532426</v>
      </c>
      <c r="N41" s="42">
        <f t="shared" ca="1" si="68"/>
        <v>8212679.1006957935</v>
      </c>
      <c r="O41" s="42">
        <f t="shared" ca="1" si="69"/>
        <v>6570143.280556635</v>
      </c>
      <c r="P41" s="406">
        <f t="shared" ca="1" si="9"/>
        <v>6570143.280556635</v>
      </c>
      <c r="R41" s="124">
        <f t="shared" si="70"/>
        <v>56249</v>
      </c>
      <c r="S41" s="117">
        <f>+IF(R41&gt;=X$9,'Taxes and TIF'!S40+1,'Taxes and TIF'!S40)</f>
        <v>29</v>
      </c>
      <c r="T41" s="42">
        <f t="shared" si="71"/>
        <v>818973.10714285716</v>
      </c>
      <c r="U41" s="116">
        <f t="shared" si="72"/>
        <v>1.2189944199947573</v>
      </c>
      <c r="V41" s="42">
        <f t="shared" ca="1" si="73"/>
        <v>191434825.22521815</v>
      </c>
      <c r="W41" s="108">
        <f t="shared" si="74"/>
        <v>0.35</v>
      </c>
      <c r="X41" s="42">
        <f t="shared" ca="1" si="75"/>
        <v>67002188.828826346</v>
      </c>
      <c r="Y41" s="49">
        <f t="shared" si="76"/>
        <v>96.515600000000006</v>
      </c>
      <c r="Z41" s="42">
        <f t="shared" ca="1" si="77"/>
        <v>6439091.1678405581</v>
      </c>
      <c r="AA41" s="108">
        <f t="shared" si="78"/>
        <v>0.25</v>
      </c>
      <c r="AB41" s="42">
        <f t="shared" si="79"/>
        <v>27665.288286914998</v>
      </c>
      <c r="AC41" s="42">
        <f t="shared" ca="1" si="80"/>
        <v>6466756.4561274732</v>
      </c>
      <c r="AD41" s="42">
        <f t="shared" ca="1" si="81"/>
        <v>4829318.3758804183</v>
      </c>
      <c r="AE41" s="42">
        <f t="shared" ca="1" si="82"/>
        <v>3863454.7007043348</v>
      </c>
      <c r="AF41" s="406">
        <f t="shared" ca="1" si="16"/>
        <v>3863454.7007043348</v>
      </c>
      <c r="AG41" s="124">
        <f t="shared" si="83"/>
        <v>56979</v>
      </c>
      <c r="AH41" s="117">
        <f>+IF(AG41&gt;=AM$9,'Taxes and TIF'!AH40+1,'Taxes and TIF'!AH40)</f>
        <v>29</v>
      </c>
      <c r="AI41" s="42">
        <f t="shared" si="84"/>
        <v>9121587</v>
      </c>
      <c r="AJ41" s="116">
        <f t="shared" si="85"/>
        <v>1.2189944199947573</v>
      </c>
      <c r="AK41" s="42">
        <f t="shared" ca="1" si="86"/>
        <v>291953978.97932905</v>
      </c>
      <c r="AL41" s="108">
        <f t="shared" si="87"/>
        <v>0.35</v>
      </c>
      <c r="AM41" s="42">
        <f t="shared" ca="1" si="88"/>
        <v>102183892.64276516</v>
      </c>
      <c r="AN41" s="49">
        <f t="shared" si="89"/>
        <v>96.515600000000006</v>
      </c>
      <c r="AO41" s="42">
        <f t="shared" ca="1" si="90"/>
        <v>9554208.3039620463</v>
      </c>
      <c r="AP41" s="108">
        <f t="shared" si="91"/>
        <v>0.25</v>
      </c>
      <c r="AQ41" s="42">
        <f t="shared" si="92"/>
        <v>308131.40479001997</v>
      </c>
      <c r="AR41" s="42">
        <f t="shared" ca="1" si="93"/>
        <v>9862339.7087520659</v>
      </c>
      <c r="AS41" s="42">
        <f t="shared" ca="1" si="94"/>
        <v>7165656.2279715352</v>
      </c>
      <c r="AT41" s="42">
        <f t="shared" ca="1" si="95"/>
        <v>5732524.9823772283</v>
      </c>
      <c r="AU41" s="406">
        <f t="shared" ca="1" si="23"/>
        <v>5732524.9823772283</v>
      </c>
    </row>
    <row r="42" spans="1:47" ht="16" customHeight="1" x14ac:dyDescent="0.35">
      <c r="A42" s="110">
        <f t="shared" si="60"/>
        <v>1</v>
      </c>
      <c r="B42" s="124">
        <f t="shared" si="61"/>
        <v>55884</v>
      </c>
      <c r="C42" s="117">
        <f>+IF(B42&gt;=H$9,'Taxes and TIF'!C41+1,'Taxes and TIF'!C41)</f>
        <v>30</v>
      </c>
      <c r="D42" s="42">
        <f t="shared" si="25"/>
        <v>8411245.5661212448</v>
      </c>
      <c r="E42" s="116">
        <f t="shared" si="62"/>
        <v>1.2189944199947573</v>
      </c>
      <c r="F42" s="42">
        <f t="shared" ca="1" si="0"/>
        <v>332570206.12875789</v>
      </c>
      <c r="G42" s="108">
        <f t="shared" si="63"/>
        <v>0.35</v>
      </c>
      <c r="H42" s="42">
        <f t="shared" ca="1" si="1"/>
        <v>116399572.14506526</v>
      </c>
      <c r="I42" s="49">
        <f t="shared" si="64"/>
        <v>96.515600000000006</v>
      </c>
      <c r="J42" s="42">
        <f t="shared" ca="1" si="65"/>
        <v>10950238.800927725</v>
      </c>
      <c r="K42" s="108">
        <f t="shared" si="66"/>
        <v>0.25</v>
      </c>
      <c r="L42" s="42">
        <f t="shared" si="2"/>
        <v>284135.74439653603</v>
      </c>
      <c r="M42" s="42">
        <f t="shared" ca="1" si="67"/>
        <v>11234374.54532426</v>
      </c>
      <c r="N42" s="42">
        <f t="shared" ca="1" si="68"/>
        <v>8212679.1006957935</v>
      </c>
      <c r="O42" s="42">
        <f t="shared" ca="1" si="69"/>
        <v>6570143.280556635</v>
      </c>
      <c r="P42" s="406">
        <f t="shared" ca="1" si="9"/>
        <v>6570143.280556635</v>
      </c>
      <c r="R42" s="124">
        <f t="shared" si="70"/>
        <v>56614</v>
      </c>
      <c r="S42" s="117">
        <f>+IF(R42&gt;=X$9,'Taxes and TIF'!S41+1,'Taxes and TIF'!S41)</f>
        <v>30</v>
      </c>
      <c r="T42" s="42">
        <f t="shared" si="71"/>
        <v>818973.10714285716</v>
      </c>
      <c r="U42" s="116">
        <f t="shared" si="72"/>
        <v>1.2189944199947573</v>
      </c>
      <c r="V42" s="42">
        <f t="shared" ca="1" si="73"/>
        <v>191434825.22521815</v>
      </c>
      <c r="W42" s="108">
        <f t="shared" si="74"/>
        <v>0.35</v>
      </c>
      <c r="X42" s="42">
        <f t="shared" ca="1" si="75"/>
        <v>67002188.828826346</v>
      </c>
      <c r="Y42" s="49">
        <f t="shared" si="76"/>
        <v>96.515600000000006</v>
      </c>
      <c r="Z42" s="42">
        <f t="shared" ca="1" si="77"/>
        <v>6439091.1678405581</v>
      </c>
      <c r="AA42" s="108">
        <f t="shared" si="78"/>
        <v>0.25</v>
      </c>
      <c r="AB42" s="42">
        <f t="shared" si="79"/>
        <v>27665.288286914998</v>
      </c>
      <c r="AC42" s="42">
        <f t="shared" ca="1" si="80"/>
        <v>6466756.4561274732</v>
      </c>
      <c r="AD42" s="42">
        <f t="shared" ca="1" si="81"/>
        <v>4829318.3758804183</v>
      </c>
      <c r="AE42" s="42">
        <f t="shared" ca="1" si="82"/>
        <v>3863454.7007043348</v>
      </c>
      <c r="AF42" s="406">
        <f t="shared" ca="1" si="16"/>
        <v>3863454.7007043348</v>
      </c>
      <c r="AG42" s="124">
        <f t="shared" si="83"/>
        <v>57345</v>
      </c>
      <c r="AH42" s="117">
        <f>+IF(AG42&gt;=AM$9,'Taxes and TIF'!AH41+1,'Taxes and TIF'!AH41)</f>
        <v>30</v>
      </c>
      <c r="AI42" s="42">
        <f t="shared" si="84"/>
        <v>9121587</v>
      </c>
      <c r="AJ42" s="116">
        <f t="shared" si="85"/>
        <v>1.2189944199947573</v>
      </c>
      <c r="AK42" s="42">
        <f t="shared" ca="1" si="86"/>
        <v>291953978.97932905</v>
      </c>
      <c r="AL42" s="108">
        <f t="shared" si="87"/>
        <v>0.35</v>
      </c>
      <c r="AM42" s="42">
        <f t="shared" ca="1" si="88"/>
        <v>102183892.64276516</v>
      </c>
      <c r="AN42" s="49">
        <f t="shared" si="89"/>
        <v>96.515600000000006</v>
      </c>
      <c r="AO42" s="42">
        <f t="shared" ca="1" si="90"/>
        <v>9554208.3039620463</v>
      </c>
      <c r="AP42" s="108">
        <f t="shared" si="91"/>
        <v>0.25</v>
      </c>
      <c r="AQ42" s="42">
        <f t="shared" si="92"/>
        <v>308131.40479001997</v>
      </c>
      <c r="AR42" s="42">
        <f t="shared" ca="1" si="93"/>
        <v>9862339.7087520659</v>
      </c>
      <c r="AS42" s="42">
        <f t="shared" ca="1" si="94"/>
        <v>7165656.2279715352</v>
      </c>
      <c r="AT42" s="42">
        <f t="shared" ca="1" si="95"/>
        <v>5732524.9823772283</v>
      </c>
      <c r="AU42" s="406">
        <f t="shared" ca="1" si="23"/>
        <v>5732524.9823772283</v>
      </c>
    </row>
    <row r="43" spans="1:47" ht="16" customHeight="1" x14ac:dyDescent="0.35">
      <c r="A43" s="110">
        <f t="shared" si="60"/>
        <v>2</v>
      </c>
      <c r="B43" s="124">
        <f t="shared" si="61"/>
        <v>56249</v>
      </c>
      <c r="C43" s="117">
        <f>+IF(B43&gt;=H$9,'Taxes and TIF'!C42+1,'Taxes and TIF'!C42)</f>
        <v>31</v>
      </c>
      <c r="D43" s="42">
        <f t="shared" si="25"/>
        <v>8411245.5661212448</v>
      </c>
      <c r="E43" s="116">
        <f t="shared" si="62"/>
        <v>1.2189944199947573</v>
      </c>
      <c r="F43" s="42">
        <f t="shared" ca="1" si="0"/>
        <v>332570206.12875789</v>
      </c>
      <c r="G43" s="108">
        <f t="shared" si="63"/>
        <v>0.35</v>
      </c>
      <c r="H43" s="42">
        <f t="shared" ca="1" si="1"/>
        <v>116399572.14506526</v>
      </c>
      <c r="I43" s="49">
        <f t="shared" si="64"/>
        <v>96.515600000000006</v>
      </c>
      <c r="J43" s="42">
        <f t="shared" ca="1" si="65"/>
        <v>10950238.800927725</v>
      </c>
      <c r="K43" s="108">
        <f t="shared" si="66"/>
        <v>0.25</v>
      </c>
      <c r="L43" s="42">
        <f t="shared" si="2"/>
        <v>284135.74439653603</v>
      </c>
      <c r="M43" s="42">
        <f t="shared" ca="1" si="67"/>
        <v>11234374.54532426</v>
      </c>
      <c r="N43" s="42">
        <f t="shared" ca="1" si="68"/>
        <v>8212679.1006957935</v>
      </c>
      <c r="O43" s="42">
        <f t="shared" ca="1" si="69"/>
        <v>6570143.280556635</v>
      </c>
      <c r="P43" s="406">
        <f t="shared" ca="1" si="9"/>
        <v>6570143.280556635</v>
      </c>
      <c r="R43" s="124">
        <f t="shared" si="70"/>
        <v>56979</v>
      </c>
      <c r="S43" s="117">
        <f>+IF(R43&gt;=X$9,'Taxes and TIF'!S42+1,'Taxes and TIF'!S42)</f>
        <v>31</v>
      </c>
      <c r="T43" s="42">
        <f t="shared" si="71"/>
        <v>818973.10714285716</v>
      </c>
      <c r="U43" s="116">
        <f t="shared" si="72"/>
        <v>1.2189944199947573</v>
      </c>
      <c r="V43" s="42">
        <f t="shared" ca="1" si="73"/>
        <v>191434825.22521815</v>
      </c>
      <c r="W43" s="108">
        <f t="shared" si="74"/>
        <v>0.35</v>
      </c>
      <c r="X43" s="42">
        <f t="shared" ca="1" si="75"/>
        <v>67002188.828826346</v>
      </c>
      <c r="Y43" s="49">
        <f t="shared" si="76"/>
        <v>96.515600000000006</v>
      </c>
      <c r="Z43" s="42">
        <f t="shared" ca="1" si="77"/>
        <v>6439091.1678405581</v>
      </c>
      <c r="AA43" s="108">
        <f t="shared" si="78"/>
        <v>0.25</v>
      </c>
      <c r="AB43" s="42">
        <f t="shared" si="79"/>
        <v>27665.288286914998</v>
      </c>
      <c r="AC43" s="42">
        <f t="shared" ca="1" si="80"/>
        <v>6466756.4561274732</v>
      </c>
      <c r="AD43" s="42">
        <f t="shared" ca="1" si="81"/>
        <v>4829318.3758804183</v>
      </c>
      <c r="AE43" s="42">
        <f t="shared" ca="1" si="82"/>
        <v>3863454.7007043348</v>
      </c>
      <c r="AF43" s="406">
        <f t="shared" ca="1" si="16"/>
        <v>3863454.7007043348</v>
      </c>
      <c r="AG43" s="124">
        <f t="shared" si="83"/>
        <v>57710</v>
      </c>
      <c r="AH43" s="117">
        <f>+IF(AG43&gt;=AM$9,'Taxes and TIF'!AH42+1,'Taxes and TIF'!AH42)</f>
        <v>31</v>
      </c>
      <c r="AI43" s="42">
        <f t="shared" si="84"/>
        <v>9121587</v>
      </c>
      <c r="AJ43" s="116">
        <f t="shared" si="85"/>
        <v>1.2189944199947573</v>
      </c>
      <c r="AK43" s="42">
        <f t="shared" ca="1" si="86"/>
        <v>291953978.97932905</v>
      </c>
      <c r="AL43" s="108">
        <f t="shared" si="87"/>
        <v>0.35</v>
      </c>
      <c r="AM43" s="42">
        <f t="shared" ca="1" si="88"/>
        <v>102183892.64276516</v>
      </c>
      <c r="AN43" s="49">
        <f t="shared" si="89"/>
        <v>96.515600000000006</v>
      </c>
      <c r="AO43" s="42">
        <f t="shared" ca="1" si="90"/>
        <v>9554208.3039620463</v>
      </c>
      <c r="AP43" s="108">
        <f t="shared" si="91"/>
        <v>0.25</v>
      </c>
      <c r="AQ43" s="42">
        <f t="shared" si="92"/>
        <v>308131.40479001997</v>
      </c>
      <c r="AR43" s="42">
        <f t="shared" ca="1" si="93"/>
        <v>9862339.7087520659</v>
      </c>
      <c r="AS43" s="42">
        <f t="shared" ca="1" si="94"/>
        <v>7165656.2279715352</v>
      </c>
      <c r="AT43" s="42">
        <f t="shared" ca="1" si="95"/>
        <v>5732524.9823772283</v>
      </c>
      <c r="AU43" s="406">
        <f t="shared" ca="1" si="23"/>
        <v>5732524.9823772283</v>
      </c>
    </row>
    <row r="44" spans="1:47" ht="16" customHeight="1" x14ac:dyDescent="0.35">
      <c r="A44" s="110">
        <f t="shared" si="60"/>
        <v>0</v>
      </c>
      <c r="B44" s="124">
        <f t="shared" si="61"/>
        <v>56614</v>
      </c>
      <c r="C44" s="117">
        <f>+IF(B44&gt;=H$9,'Taxes and TIF'!C43+1,'Taxes and TIF'!C43)</f>
        <v>32</v>
      </c>
      <c r="D44" s="42">
        <f t="shared" si="25"/>
        <v>8579470.477443669</v>
      </c>
      <c r="E44" s="116">
        <f t="shared" si="62"/>
        <v>1.2433743083946525</v>
      </c>
      <c r="F44" s="42">
        <f t="shared" ca="1" si="0"/>
        <v>339221610.25133306</v>
      </c>
      <c r="G44" s="108">
        <f t="shared" si="63"/>
        <v>0.35</v>
      </c>
      <c r="H44" s="42">
        <f t="shared" ca="1" si="1"/>
        <v>118727563.58796656</v>
      </c>
      <c r="I44" s="49">
        <f t="shared" si="64"/>
        <v>96.515600000000006</v>
      </c>
      <c r="J44" s="42">
        <f t="shared" ca="1" si="65"/>
        <v>11169243.576946277</v>
      </c>
      <c r="K44" s="108">
        <f t="shared" si="66"/>
        <v>0.25</v>
      </c>
      <c r="L44" s="42">
        <f t="shared" si="2"/>
        <v>289818.45928446675</v>
      </c>
      <c r="M44" s="42">
        <f t="shared" ca="1" si="67"/>
        <v>11459062.036230745</v>
      </c>
      <c r="N44" s="42">
        <f t="shared" ca="1" si="68"/>
        <v>8376932.6827097079</v>
      </c>
      <c r="O44" s="42">
        <f t="shared" ca="1" si="69"/>
        <v>6701546.1461677663</v>
      </c>
      <c r="P44" s="406">
        <f t="shared" ca="1" si="9"/>
        <v>6701546.1461677663</v>
      </c>
      <c r="R44" s="124">
        <f t="shared" si="70"/>
        <v>57345</v>
      </c>
      <c r="S44" s="117">
        <f>+IF(R44&gt;=X$9,'Taxes and TIF'!S43+1,'Taxes and TIF'!S43)</f>
        <v>32</v>
      </c>
      <c r="T44" s="42">
        <f t="shared" si="71"/>
        <v>818973.10714285716</v>
      </c>
      <c r="U44" s="116">
        <f t="shared" si="72"/>
        <v>1.2433743083946525</v>
      </c>
      <c r="V44" s="42">
        <f t="shared" ca="1" si="73"/>
        <v>195263521.7297225</v>
      </c>
      <c r="W44" s="108">
        <f t="shared" si="74"/>
        <v>0.35</v>
      </c>
      <c r="X44" s="42">
        <f t="shared" ca="1" si="75"/>
        <v>68342232.605402872</v>
      </c>
      <c r="Y44" s="49">
        <f t="shared" si="76"/>
        <v>96.515600000000006</v>
      </c>
      <c r="Z44" s="42">
        <f t="shared" ca="1" si="77"/>
        <v>6568426.2969631068</v>
      </c>
      <c r="AA44" s="108">
        <f t="shared" si="78"/>
        <v>0.25</v>
      </c>
      <c r="AB44" s="42">
        <f t="shared" si="79"/>
        <v>27665.288286914998</v>
      </c>
      <c r="AC44" s="42">
        <f t="shared" ca="1" si="80"/>
        <v>6596091.5852500219</v>
      </c>
      <c r="AD44" s="42">
        <f t="shared" ca="1" si="81"/>
        <v>4926319.7227223301</v>
      </c>
      <c r="AE44" s="42">
        <f t="shared" ca="1" si="82"/>
        <v>3941055.7781778639</v>
      </c>
      <c r="AF44" s="406">
        <f t="shared" ca="1" si="16"/>
        <v>3941055.7781778639</v>
      </c>
      <c r="AG44" s="124">
        <f t="shared" si="83"/>
        <v>58075</v>
      </c>
      <c r="AH44" s="117">
        <f>+IF(AG44&gt;=AM$9,'Taxes and TIF'!AH43+1,'Taxes and TIF'!AH43)</f>
        <v>32</v>
      </c>
      <c r="AI44" s="42">
        <f t="shared" si="84"/>
        <v>9121587</v>
      </c>
      <c r="AJ44" s="116">
        <f t="shared" si="85"/>
        <v>1.2433743083946525</v>
      </c>
      <c r="AK44" s="42">
        <f t="shared" ca="1" si="86"/>
        <v>297793058.55891562</v>
      </c>
      <c r="AL44" s="108">
        <f t="shared" si="87"/>
        <v>0.35</v>
      </c>
      <c r="AM44" s="42">
        <f t="shared" ca="1" si="88"/>
        <v>104227570.49562046</v>
      </c>
      <c r="AN44" s="49">
        <f t="shared" si="89"/>
        <v>96.515600000000006</v>
      </c>
      <c r="AO44" s="42">
        <f t="shared" ca="1" si="90"/>
        <v>9751455.0981370881</v>
      </c>
      <c r="AP44" s="108">
        <f t="shared" si="91"/>
        <v>0.25</v>
      </c>
      <c r="AQ44" s="42">
        <f t="shared" si="92"/>
        <v>308131.40479001997</v>
      </c>
      <c r="AR44" s="42">
        <f t="shared" ca="1" si="93"/>
        <v>10059586.502927108</v>
      </c>
      <c r="AS44" s="42">
        <f t="shared" ca="1" si="94"/>
        <v>7313591.3236028161</v>
      </c>
      <c r="AT44" s="42">
        <f t="shared" ca="1" si="95"/>
        <v>5850873.0588822532</v>
      </c>
      <c r="AU44" s="406">
        <f t="shared" ca="1" si="23"/>
        <v>5850873.0588822532</v>
      </c>
    </row>
    <row r="45" spans="1:47" ht="16" customHeight="1" x14ac:dyDescent="0.35">
      <c r="A45" s="110">
        <f t="shared" si="60"/>
        <v>1</v>
      </c>
      <c r="B45" s="124">
        <f t="shared" si="61"/>
        <v>56979</v>
      </c>
      <c r="C45" s="117">
        <f>+IF(B45&gt;=H$9,'Taxes and TIF'!C44+1,'Taxes and TIF'!C44)</f>
        <v>33</v>
      </c>
      <c r="D45" s="42">
        <f t="shared" si="25"/>
        <v>8579470.477443669</v>
      </c>
      <c r="E45" s="116">
        <f t="shared" si="62"/>
        <v>1.2433743083946525</v>
      </c>
      <c r="F45" s="42">
        <f t="shared" ca="1" si="0"/>
        <v>339221610.25133306</v>
      </c>
      <c r="G45" s="108">
        <f t="shared" si="63"/>
        <v>0.35</v>
      </c>
      <c r="H45" s="42">
        <f t="shared" ca="1" si="1"/>
        <v>118727563.58796656</v>
      </c>
      <c r="I45" s="49">
        <f t="shared" si="64"/>
        <v>96.515600000000006</v>
      </c>
      <c r="J45" s="42">
        <f t="shared" ca="1" si="65"/>
        <v>11169243.576946277</v>
      </c>
      <c r="K45" s="108">
        <f t="shared" si="66"/>
        <v>0.25</v>
      </c>
      <c r="L45" s="42">
        <f t="shared" si="2"/>
        <v>289818.45928446675</v>
      </c>
      <c r="M45" s="42">
        <f t="shared" ca="1" si="67"/>
        <v>11459062.036230745</v>
      </c>
      <c r="N45" s="42">
        <f t="shared" ca="1" si="68"/>
        <v>8376932.6827097079</v>
      </c>
      <c r="O45" s="42">
        <f t="shared" ca="1" si="69"/>
        <v>6701546.1461677663</v>
      </c>
      <c r="P45" s="406">
        <f t="shared" ca="1" si="9"/>
        <v>6701546.1461677663</v>
      </c>
      <c r="R45" s="124">
        <f t="shared" si="70"/>
        <v>57710</v>
      </c>
      <c r="S45" s="117">
        <f>+IF(R45&gt;=X$9,'Taxes and TIF'!S44+1,'Taxes and TIF'!S44)</f>
        <v>33</v>
      </c>
      <c r="T45" s="42">
        <f t="shared" si="71"/>
        <v>818973.10714285716</v>
      </c>
      <c r="U45" s="116">
        <f t="shared" si="72"/>
        <v>1.2433743083946525</v>
      </c>
      <c r="V45" s="42">
        <f t="shared" ca="1" si="73"/>
        <v>195263521.7297225</v>
      </c>
      <c r="W45" s="108">
        <f t="shared" si="74"/>
        <v>0.35</v>
      </c>
      <c r="X45" s="42">
        <f t="shared" ca="1" si="75"/>
        <v>68342232.605402872</v>
      </c>
      <c r="Y45" s="49">
        <f t="shared" si="76"/>
        <v>96.515600000000006</v>
      </c>
      <c r="Z45" s="42">
        <f t="shared" ca="1" si="77"/>
        <v>6568426.2969631068</v>
      </c>
      <c r="AA45" s="108">
        <f t="shared" si="78"/>
        <v>0.25</v>
      </c>
      <c r="AB45" s="42">
        <f t="shared" si="79"/>
        <v>27665.288286914998</v>
      </c>
      <c r="AC45" s="42">
        <f t="shared" ca="1" si="80"/>
        <v>6596091.5852500219</v>
      </c>
      <c r="AD45" s="42">
        <f t="shared" ca="1" si="81"/>
        <v>4926319.7227223301</v>
      </c>
      <c r="AE45" s="42">
        <f t="shared" ca="1" si="82"/>
        <v>3941055.7781778639</v>
      </c>
      <c r="AF45" s="406">
        <f t="shared" ca="1" si="16"/>
        <v>3941055.7781778639</v>
      </c>
      <c r="AG45" s="124">
        <f t="shared" si="83"/>
        <v>58440</v>
      </c>
      <c r="AH45" s="117">
        <f>+IF(AG45&gt;=AM$9,'Taxes and TIF'!AH44+1,'Taxes and TIF'!AH44)</f>
        <v>33</v>
      </c>
      <c r="AI45" s="42">
        <f t="shared" si="84"/>
        <v>9121587</v>
      </c>
      <c r="AJ45" s="116">
        <f t="shared" si="85"/>
        <v>1.2433743083946525</v>
      </c>
      <c r="AK45" s="42">
        <f t="shared" ca="1" si="86"/>
        <v>297793058.55891562</v>
      </c>
      <c r="AL45" s="108">
        <f t="shared" si="87"/>
        <v>0.35</v>
      </c>
      <c r="AM45" s="42">
        <f t="shared" ca="1" si="88"/>
        <v>104227570.49562046</v>
      </c>
      <c r="AN45" s="49">
        <f t="shared" si="89"/>
        <v>96.515600000000006</v>
      </c>
      <c r="AO45" s="42">
        <f t="shared" ca="1" si="90"/>
        <v>9751455.0981370881</v>
      </c>
      <c r="AP45" s="108">
        <f t="shared" si="91"/>
        <v>0.25</v>
      </c>
      <c r="AQ45" s="42">
        <f t="shared" si="92"/>
        <v>308131.40479001997</v>
      </c>
      <c r="AR45" s="42">
        <f t="shared" ca="1" si="93"/>
        <v>10059586.502927108</v>
      </c>
      <c r="AS45" s="42">
        <f t="shared" ca="1" si="94"/>
        <v>7313591.3236028161</v>
      </c>
      <c r="AT45" s="42">
        <f t="shared" ca="1" si="95"/>
        <v>5850873.0588822532</v>
      </c>
      <c r="AU45" s="406">
        <f t="shared" ca="1" si="23"/>
        <v>5850873.0588822532</v>
      </c>
    </row>
    <row r="46" spans="1:47" ht="16" customHeight="1" x14ac:dyDescent="0.35">
      <c r="B46" s="120" t="s">
        <v>203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1">
        <f ca="1">+MIN(P11:P45)</f>
        <v>5389805.8701408105</v>
      </c>
      <c r="P46" s="165"/>
      <c r="R46" s="120" t="s">
        <v>203</v>
      </c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1">
        <f ca="1">+MIN(AF11:AF45)</f>
        <v>3166396.4257223643</v>
      </c>
      <c r="AG46" s="120" t="s">
        <v>203</v>
      </c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1">
        <f ca="1">+MIN(AU11:AU45)</f>
        <v>4669453.3248455813</v>
      </c>
    </row>
    <row r="47" spans="1:47" ht="16" customHeight="1" x14ac:dyDescent="0.35">
      <c r="B47" s="122" t="s">
        <v>201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3">
        <f ca="1">+PV($D$6,$D$5,-O$46)</f>
        <v>74189767.741794825</v>
      </c>
      <c r="P47" s="165"/>
      <c r="R47" s="122" t="s">
        <v>201</v>
      </c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3">
        <f ca="1">+PV($D$6,$D$5,-AE$46)</f>
        <v>43584912.158747986</v>
      </c>
      <c r="AG47" s="122" t="s">
        <v>201</v>
      </c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3">
        <f ca="1">+PV($D$6,$D$5,-AT$46)</f>
        <v>64274236.586260356</v>
      </c>
    </row>
    <row r="48" spans="1:47" ht="16" customHeight="1" x14ac:dyDescent="0.35">
      <c r="O48" s="128" t="str">
        <f>+B8</f>
        <v>I</v>
      </c>
      <c r="P48" s="128"/>
      <c r="AE48" s="128" t="str">
        <f>+R8</f>
        <v>II</v>
      </c>
      <c r="AT48" s="128" t="str">
        <f>+AG8</f>
        <v>III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Official Summary</vt:lpstr>
      <vt:lpstr>Summary II</vt:lpstr>
      <vt:lpstr>Assumptions</vt:lpstr>
      <vt:lpstr>Parcel Breakdown</vt:lpstr>
      <vt:lpstr>S&amp;U</vt:lpstr>
      <vt:lpstr>Budget</vt:lpstr>
      <vt:lpstr>Infra</vt:lpstr>
      <vt:lpstr>Acquisition</vt:lpstr>
      <vt:lpstr>Taxes and TIF</vt:lpstr>
      <vt:lpstr>Loan Sizing</vt:lpstr>
      <vt:lpstr>Phase I Pro Forma</vt:lpstr>
      <vt:lpstr>Phase II Pro Forma</vt:lpstr>
      <vt:lpstr>Phase III Pro Forma</vt:lpstr>
      <vt:lpstr>Cash Flow Roll-up</vt:lpstr>
      <vt:lpstr>Public Benefits</vt:lpstr>
      <vt:lpstr>'Official Summary'!Print_Area</vt:lpstr>
      <vt:lpstr>'Summary II'!Print_Area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Finkenbinder-Best</dc:creator>
  <cp:lastModifiedBy>Alan Robert Sage</cp:lastModifiedBy>
  <cp:lastPrinted>2019-01-26T21:11:46Z</cp:lastPrinted>
  <dcterms:created xsi:type="dcterms:W3CDTF">2007-12-12T14:49:40Z</dcterms:created>
  <dcterms:modified xsi:type="dcterms:W3CDTF">2019-01-26T21:54:39Z</dcterms:modified>
</cp:coreProperties>
</file>